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22.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2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4.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drawings/drawing25.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2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27.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drawings/drawing29.xml" ContentType="application/vnd.openxmlformats-officedocument.drawing+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30.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drawings/drawing31.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5\June 2025\"/>
    </mc:Choice>
  </mc:AlternateContent>
  <xr:revisionPtr revIDLastSave="0" documentId="13_ncr:1_{8FE51763-4223-4AD2-B9F3-9F2A3473DFCE}" xr6:coauthVersionLast="47" xr6:coauthVersionMax="47" xr10:uidLastSave="{00000000-0000-0000-0000-000000000000}"/>
  <bookViews>
    <workbookView xWindow="38290" yWindow="-110" windowWidth="19420" windowHeight="1030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RR Open Access" sheetId="131" r:id="rId21"/>
    <sheet name="RSDM Open" sheetId="132" r:id="rId22"/>
    <sheet name="RS PEV OPEN" sheetId="154" r:id="rId23"/>
    <sheet name="GS-1 Open" sheetId="133" r:id="rId24"/>
    <sheet name="GS-PEV OAD" sheetId="145" r:id="rId25"/>
    <sheet name="GS SEC OAD" sheetId="141" r:id="rId26"/>
    <sheet name="GS PRI OAD" sheetId="142" r:id="rId27"/>
    <sheet name="GS TRANS - OAD" sheetId="136" r:id="rId28"/>
    <sheet name="Bus PEV Sec OAD" sheetId="151" r:id="rId29"/>
    <sheet name="Bus PEV - Primary OAD" sheetId="152" r:id="rId30"/>
    <sheet name="Bus PEV Trans OAD" sheetId="153" r:id="rId31"/>
    <sheet name="Rider Rates" sheetId="120" r:id="rId32"/>
    <sheet name="Riders" sheetId="61" state="hidden" r:id="rId33"/>
  </sheets>
  <definedNames>
    <definedName name="_xlnm.Print_Area" localSheetId="0">'Customer Info'!$A$1:$F$37</definedName>
    <definedName name="_xlnm.Print_Area" localSheetId="13">'GS FAIR - PRI'!$A$1:$P$71</definedName>
    <definedName name="_xlnm.Print_Area" localSheetId="12">'GS FAIR - SEC'!$A$1:$P$71</definedName>
    <definedName name="_xlnm.Print_Area" localSheetId="18">'GS PRI'!$A$1:$P$78</definedName>
    <definedName name="_xlnm.Print_Area" localSheetId="26">'GS PRI OAD'!$A$1:$P$72</definedName>
    <definedName name="_xlnm.Print_Area" localSheetId="17">'GS SEC'!$A$1:$P$78</definedName>
    <definedName name="_xlnm.Print_Area" localSheetId="25">'GS SEC OAD'!$A$1:$P$72</definedName>
    <definedName name="_xlnm.Print_Area" localSheetId="10">'GS TOD Bundled'!$A$1:$P$63</definedName>
    <definedName name="_xlnm.Print_Area" localSheetId="19">'GS TRANS'!$A$1:$P$77</definedName>
    <definedName name="_xlnm.Print_Area" localSheetId="27">'GS TRANS - OAD'!$A$1:$P$71</definedName>
    <definedName name="_xlnm.Print_Area" localSheetId="8">'GS-1 Bundled'!$A$1:$P$64</definedName>
    <definedName name="_xlnm.Print_Area" localSheetId="23">'GS-1 Open'!$A$1:$P$60</definedName>
    <definedName name="_xlnm.Print_Area" localSheetId="24">'GS-PEV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1">'Rider Rates'!$A$68:$D$83</definedName>
    <definedName name="_xlnm.Print_Area" localSheetId="2">'RR Bundled'!$A$1:$P$68</definedName>
    <definedName name="_xlnm.Print_Area" localSheetId="20">'RR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1">'RSDM Open'!$A$1:$P$56</definedName>
    <definedName name="_xlnm.Print_Titles" localSheetId="31">'Rider Rates'!$1:$2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36" l="1"/>
  <c r="D42" i="142"/>
  <c r="D42" i="141"/>
  <c r="D44" i="130"/>
  <c r="D45" i="129"/>
  <c r="D45" i="40"/>
  <c r="D28" i="40"/>
  <c r="D47" i="40"/>
  <c r="D28" i="141"/>
  <c r="P41" i="146"/>
  <c r="I41" i="146"/>
  <c r="P45" i="140"/>
  <c r="I45" i="140"/>
  <c r="I39" i="126"/>
  <c r="P41" i="154"/>
  <c r="I41" i="154"/>
  <c r="J41" i="154"/>
  <c r="P35" i="132"/>
  <c r="I35" i="132"/>
  <c r="J35" i="132"/>
  <c r="P41" i="131"/>
  <c r="I41" i="131"/>
  <c r="J41" i="131"/>
  <c r="J41" i="146"/>
  <c r="J45" i="140"/>
  <c r="P39" i="126"/>
  <c r="J39" i="126"/>
  <c r="P45" i="127"/>
  <c r="I45" i="127"/>
  <c r="J45" i="127"/>
  <c r="P38" i="100"/>
  <c r="P34" i="100"/>
  <c r="P33" i="100"/>
  <c r="P39" i="34"/>
  <c r="I38" i="100"/>
  <c r="J38" i="100"/>
  <c r="P44" i="34"/>
  <c r="I44" i="34"/>
  <c r="J44" i="34"/>
  <c r="P53" i="154"/>
  <c r="I53" i="154"/>
  <c r="J53" i="154"/>
  <c r="N53" i="154"/>
  <c r="O53" i="154"/>
  <c r="P52" i="154"/>
  <c r="I52" i="154"/>
  <c r="J52" i="154"/>
  <c r="P51" i="154"/>
  <c r="I51" i="154"/>
  <c r="J51" i="154"/>
  <c r="N51" i="154"/>
  <c r="O51" i="154"/>
  <c r="P50" i="154"/>
  <c r="I50" i="154"/>
  <c r="J50" i="154"/>
  <c r="P49" i="154"/>
  <c r="J49" i="154"/>
  <c r="D49" i="154"/>
  <c r="P48" i="154"/>
  <c r="I48" i="154"/>
  <c r="J48" i="154"/>
  <c r="P47" i="154"/>
  <c r="I47" i="154"/>
  <c r="J47" i="154"/>
  <c r="P46" i="154"/>
  <c r="J46" i="154"/>
  <c r="P45" i="154"/>
  <c r="I45" i="154"/>
  <c r="J45" i="154"/>
  <c r="P44" i="154"/>
  <c r="I44" i="154"/>
  <c r="J44" i="154"/>
  <c r="P43" i="154"/>
  <c r="I43" i="154"/>
  <c r="J43" i="154"/>
  <c r="P42" i="154"/>
  <c r="I42" i="154"/>
  <c r="J42" i="154"/>
  <c r="P40" i="154"/>
  <c r="H40" i="154"/>
  <c r="J40" i="154"/>
  <c r="P39" i="154"/>
  <c r="P38" i="154"/>
  <c r="J38" i="154"/>
  <c r="D38" i="154"/>
  <c r="L38" i="154"/>
  <c r="O38" i="154"/>
  <c r="P37" i="154"/>
  <c r="J37" i="154"/>
  <c r="D37" i="154"/>
  <c r="L37" i="154"/>
  <c r="O37" i="154"/>
  <c r="P36" i="154"/>
  <c r="J36" i="154"/>
  <c r="D36" i="154"/>
  <c r="L36" i="154"/>
  <c r="P35" i="154"/>
  <c r="I35" i="154"/>
  <c r="J35" i="154"/>
  <c r="P34" i="154"/>
  <c r="I34" i="154"/>
  <c r="J34" i="154"/>
  <c r="P33" i="154"/>
  <c r="I33" i="154"/>
  <c r="J33" i="154"/>
  <c r="P32" i="154"/>
  <c r="I32" i="154"/>
  <c r="J32" i="154"/>
  <c r="P31" i="154"/>
  <c r="I31" i="154"/>
  <c r="J31" i="154"/>
  <c r="P30" i="154"/>
  <c r="I30" i="154"/>
  <c r="J30" i="154"/>
  <c r="P29" i="154"/>
  <c r="I29" i="154"/>
  <c r="J29" i="154"/>
  <c r="P28" i="154"/>
  <c r="I28" i="154"/>
  <c r="J28" i="154"/>
  <c r="P23" i="154"/>
  <c r="I23" i="154"/>
  <c r="J23" i="154"/>
  <c r="P22" i="154"/>
  <c r="I22" i="154"/>
  <c r="J22" i="154"/>
  <c r="I21" i="154"/>
  <c r="N21" i="154"/>
  <c r="AD17" i="154"/>
  <c r="AC17" i="154"/>
  <c r="AB17" i="154"/>
  <c r="AA17" i="154"/>
  <c r="Z17" i="154"/>
  <c r="Y17" i="154"/>
  <c r="X17" i="154"/>
  <c r="W17" i="154"/>
  <c r="V17" i="154"/>
  <c r="U17" i="154"/>
  <c r="T17" i="154"/>
  <c r="S17" i="154"/>
  <c r="C16" i="154"/>
  <c r="C15" i="154"/>
  <c r="D22" i="154"/>
  <c r="D11" i="154"/>
  <c r="B11" i="154"/>
  <c r="C11" i="154"/>
  <c r="C10" i="154"/>
  <c r="C9" i="154"/>
  <c r="A6" i="154"/>
  <c r="A4" i="154"/>
  <c r="P53" i="153"/>
  <c r="I53" i="153"/>
  <c r="J53" i="153"/>
  <c r="N53" i="153"/>
  <c r="O53" i="153"/>
  <c r="P52" i="153"/>
  <c r="I52" i="153"/>
  <c r="J52" i="153"/>
  <c r="P51" i="153"/>
  <c r="I51" i="153"/>
  <c r="J51" i="153"/>
  <c r="P50" i="153"/>
  <c r="I50" i="153"/>
  <c r="J50" i="153"/>
  <c r="P49" i="153"/>
  <c r="I49" i="153"/>
  <c r="J49" i="153"/>
  <c r="P48" i="153"/>
  <c r="J48" i="153"/>
  <c r="P47" i="153"/>
  <c r="I47" i="153"/>
  <c r="N47" i="153"/>
  <c r="O47" i="153"/>
  <c r="P46" i="153"/>
  <c r="I46" i="153"/>
  <c r="J46" i="153"/>
  <c r="P45" i="153"/>
  <c r="J45" i="153"/>
  <c r="P44" i="153"/>
  <c r="I44" i="153"/>
  <c r="N44" i="153"/>
  <c r="O44" i="153"/>
  <c r="P43" i="153"/>
  <c r="I43" i="153"/>
  <c r="J43" i="153"/>
  <c r="P42" i="153"/>
  <c r="I42" i="153"/>
  <c r="J42" i="153"/>
  <c r="P41" i="153"/>
  <c r="I41" i="153"/>
  <c r="J41" i="153"/>
  <c r="N41" i="153"/>
  <c r="O41" i="153"/>
  <c r="P40" i="153"/>
  <c r="I40" i="153"/>
  <c r="J40" i="153"/>
  <c r="P39" i="153"/>
  <c r="H39" i="153"/>
  <c r="J39" i="153"/>
  <c r="P38" i="153"/>
  <c r="P37" i="153"/>
  <c r="J37" i="153"/>
  <c r="P36" i="153"/>
  <c r="J36" i="153"/>
  <c r="P35" i="153"/>
  <c r="J35" i="153"/>
  <c r="P34" i="153"/>
  <c r="J34" i="153"/>
  <c r="P33" i="153"/>
  <c r="I33" i="153"/>
  <c r="J33" i="153"/>
  <c r="P32" i="153"/>
  <c r="I32" i="153"/>
  <c r="J32" i="153"/>
  <c r="P31" i="153"/>
  <c r="I31" i="153"/>
  <c r="J31" i="153"/>
  <c r="P30" i="153"/>
  <c r="I30" i="153"/>
  <c r="J30" i="153"/>
  <c r="P29" i="153"/>
  <c r="I29" i="153"/>
  <c r="J29" i="153"/>
  <c r="P28" i="153"/>
  <c r="I28" i="153"/>
  <c r="J28" i="153"/>
  <c r="P27" i="153"/>
  <c r="I27" i="153"/>
  <c r="J27" i="153"/>
  <c r="P22" i="153"/>
  <c r="I22" i="153"/>
  <c r="J22" i="153"/>
  <c r="I21" i="153"/>
  <c r="N21" i="153"/>
  <c r="C17" i="153"/>
  <c r="D36" i="153"/>
  <c r="C16" i="153"/>
  <c r="C15" i="153"/>
  <c r="D51" i="153"/>
  <c r="AD13" i="153"/>
  <c r="AC13" i="153"/>
  <c r="AB13" i="153"/>
  <c r="AA13" i="153"/>
  <c r="Z13" i="153"/>
  <c r="Y13" i="153"/>
  <c r="X13" i="153"/>
  <c r="W13" i="153"/>
  <c r="V13" i="153"/>
  <c r="U13" i="153"/>
  <c r="T13" i="153"/>
  <c r="S13" i="153"/>
  <c r="D11" i="153"/>
  <c r="B11" i="153"/>
  <c r="C11" i="153"/>
  <c r="C10" i="153"/>
  <c r="C9" i="153"/>
  <c r="A6" i="153"/>
  <c r="A4" i="153"/>
  <c r="P53" i="152"/>
  <c r="I53" i="152"/>
  <c r="J53" i="152"/>
  <c r="N53" i="152"/>
  <c r="O53" i="152"/>
  <c r="P52" i="152"/>
  <c r="I52" i="152"/>
  <c r="J52" i="152"/>
  <c r="P51" i="152"/>
  <c r="I51" i="152"/>
  <c r="J51" i="152"/>
  <c r="P50" i="152"/>
  <c r="I50" i="152"/>
  <c r="J50" i="152"/>
  <c r="P49" i="152"/>
  <c r="I49" i="152"/>
  <c r="J49" i="152"/>
  <c r="P48" i="152"/>
  <c r="J48" i="152"/>
  <c r="P47" i="152"/>
  <c r="I47" i="152"/>
  <c r="N47" i="152"/>
  <c r="O47" i="152"/>
  <c r="P46" i="152"/>
  <c r="I46" i="152"/>
  <c r="J46" i="152"/>
  <c r="P45" i="152"/>
  <c r="J45" i="152"/>
  <c r="P44" i="152"/>
  <c r="I44" i="152"/>
  <c r="J44" i="152"/>
  <c r="P43" i="152"/>
  <c r="I43" i="152"/>
  <c r="J43" i="152"/>
  <c r="P42" i="152"/>
  <c r="I42" i="152"/>
  <c r="J42" i="152"/>
  <c r="P41" i="152"/>
  <c r="I41" i="152"/>
  <c r="J41" i="152"/>
  <c r="N41" i="152"/>
  <c r="O41" i="152"/>
  <c r="P40" i="152"/>
  <c r="I40" i="152"/>
  <c r="J40" i="152"/>
  <c r="P39" i="152"/>
  <c r="H39" i="152"/>
  <c r="J39" i="152"/>
  <c r="P38" i="152"/>
  <c r="P37" i="152"/>
  <c r="J37" i="152"/>
  <c r="P36" i="152"/>
  <c r="J36" i="152"/>
  <c r="P35" i="152"/>
  <c r="J35" i="152"/>
  <c r="P34" i="152"/>
  <c r="J34" i="152"/>
  <c r="P33" i="152"/>
  <c r="I33" i="152"/>
  <c r="J33" i="152"/>
  <c r="P32" i="152"/>
  <c r="I32" i="152"/>
  <c r="J32" i="152"/>
  <c r="P31" i="152"/>
  <c r="I31" i="152"/>
  <c r="J31" i="152"/>
  <c r="P30" i="152"/>
  <c r="I30" i="152"/>
  <c r="J30" i="152"/>
  <c r="P29" i="152"/>
  <c r="I29" i="152"/>
  <c r="J29" i="152"/>
  <c r="P28" i="152"/>
  <c r="I28" i="152"/>
  <c r="J28" i="152"/>
  <c r="P27" i="152"/>
  <c r="I27" i="152"/>
  <c r="J27" i="152"/>
  <c r="P22" i="152"/>
  <c r="I22" i="152"/>
  <c r="J22" i="152"/>
  <c r="I21" i="152"/>
  <c r="N21" i="152"/>
  <c r="C17" i="152"/>
  <c r="D36" i="152"/>
  <c r="C16" i="152"/>
  <c r="D48" i="152"/>
  <c r="C15" i="152"/>
  <c r="D31" i="152"/>
  <c r="AD13" i="152"/>
  <c r="AC13" i="152"/>
  <c r="AB13" i="152"/>
  <c r="AA13" i="152"/>
  <c r="Z13" i="152"/>
  <c r="Y13" i="152"/>
  <c r="X13" i="152"/>
  <c r="W13" i="152"/>
  <c r="V13" i="152"/>
  <c r="U13" i="152"/>
  <c r="T13" i="152"/>
  <c r="S13" i="152"/>
  <c r="D11" i="152"/>
  <c r="B11" i="152"/>
  <c r="C11" i="152"/>
  <c r="C10" i="152"/>
  <c r="C9" i="152"/>
  <c r="A6" i="152"/>
  <c r="A4" i="152"/>
  <c r="P53" i="151"/>
  <c r="I53" i="151"/>
  <c r="J53" i="151"/>
  <c r="N53" i="151"/>
  <c r="O53" i="151"/>
  <c r="P52" i="151"/>
  <c r="I52" i="151"/>
  <c r="J52" i="151"/>
  <c r="P51" i="151"/>
  <c r="I51" i="151"/>
  <c r="J51" i="151"/>
  <c r="P50" i="151"/>
  <c r="I50" i="151"/>
  <c r="J50" i="151"/>
  <c r="P49" i="151"/>
  <c r="I49" i="151"/>
  <c r="J49" i="151"/>
  <c r="P48" i="151"/>
  <c r="J48" i="151"/>
  <c r="P47" i="151"/>
  <c r="I47" i="151"/>
  <c r="J47" i="151"/>
  <c r="P46" i="151"/>
  <c r="I46" i="151"/>
  <c r="J46" i="151"/>
  <c r="P45" i="151"/>
  <c r="J45" i="151"/>
  <c r="P44" i="151"/>
  <c r="I44" i="151"/>
  <c r="N44" i="151"/>
  <c r="O44" i="151"/>
  <c r="P43" i="151"/>
  <c r="I43" i="151"/>
  <c r="J43" i="151"/>
  <c r="P42" i="151"/>
  <c r="I42" i="151"/>
  <c r="J42" i="151"/>
  <c r="P41" i="151"/>
  <c r="I41" i="151"/>
  <c r="J41" i="151"/>
  <c r="N41" i="151"/>
  <c r="O41" i="151"/>
  <c r="P40" i="151"/>
  <c r="I40" i="151"/>
  <c r="J40" i="151"/>
  <c r="P39" i="151"/>
  <c r="H39" i="151"/>
  <c r="J39" i="151"/>
  <c r="P38" i="151"/>
  <c r="P37" i="151"/>
  <c r="J37" i="151"/>
  <c r="P36" i="151"/>
  <c r="J36" i="151"/>
  <c r="P35" i="151"/>
  <c r="J35" i="151"/>
  <c r="P34" i="151"/>
  <c r="J34" i="151"/>
  <c r="D34" i="151"/>
  <c r="P33" i="151"/>
  <c r="I33" i="151"/>
  <c r="J33" i="151"/>
  <c r="P32" i="151"/>
  <c r="I32" i="151"/>
  <c r="J32" i="151"/>
  <c r="P31" i="151"/>
  <c r="I31" i="151"/>
  <c r="J31" i="151"/>
  <c r="P30" i="151"/>
  <c r="I30" i="151"/>
  <c r="J30" i="151"/>
  <c r="P29" i="151"/>
  <c r="I29" i="151"/>
  <c r="J29" i="151"/>
  <c r="P28" i="151"/>
  <c r="I28" i="151"/>
  <c r="J28" i="151"/>
  <c r="P27" i="151"/>
  <c r="I27" i="151"/>
  <c r="J27" i="151"/>
  <c r="P22" i="151"/>
  <c r="I22" i="151"/>
  <c r="J22" i="151"/>
  <c r="I21" i="151"/>
  <c r="J21" i="151"/>
  <c r="C17" i="151"/>
  <c r="D36" i="151"/>
  <c r="C16" i="151"/>
  <c r="D35" i="151"/>
  <c r="L35" i="151"/>
  <c r="O35" i="151"/>
  <c r="C15" i="151"/>
  <c r="D50" i="151"/>
  <c r="AD13" i="151"/>
  <c r="AC13" i="151"/>
  <c r="AB13" i="151"/>
  <c r="AA13" i="151"/>
  <c r="Z13" i="151"/>
  <c r="Y13" i="151"/>
  <c r="X13" i="151"/>
  <c r="W13" i="151"/>
  <c r="V13" i="151"/>
  <c r="U13" i="151"/>
  <c r="T13" i="151"/>
  <c r="S13" i="151"/>
  <c r="D11" i="151"/>
  <c r="B11" i="151"/>
  <c r="C11" i="151"/>
  <c r="C10" i="151"/>
  <c r="C9" i="151"/>
  <c r="A6" i="151"/>
  <c r="A4" i="151"/>
  <c r="G48" i="149"/>
  <c r="G36" i="149"/>
  <c r="G35" i="149"/>
  <c r="G34" i="149"/>
  <c r="G48" i="148"/>
  <c r="G36" i="148"/>
  <c r="G35" i="148"/>
  <c r="G34" i="148"/>
  <c r="G36" i="147"/>
  <c r="G35" i="147"/>
  <c r="N22" i="154"/>
  <c r="O22" i="154"/>
  <c r="N45" i="154"/>
  <c r="O45" i="154"/>
  <c r="J21" i="154"/>
  <c r="C17" i="154"/>
  <c r="L49" i="154"/>
  <c r="O49" i="154"/>
  <c r="O36" i="154"/>
  <c r="D23" i="154"/>
  <c r="N23" i="154"/>
  <c r="O23" i="154"/>
  <c r="O21" i="154"/>
  <c r="N48" i="154"/>
  <c r="O48" i="154"/>
  <c r="L36" i="153"/>
  <c r="O36" i="153"/>
  <c r="L36" i="152"/>
  <c r="O36" i="152"/>
  <c r="N21" i="151"/>
  <c r="O21" i="151"/>
  <c r="L48" i="152"/>
  <c r="O48" i="152"/>
  <c r="N50" i="151"/>
  <c r="O50" i="151"/>
  <c r="N44" i="152"/>
  <c r="O44" i="152"/>
  <c r="D37" i="153"/>
  <c r="L37" i="153"/>
  <c r="O37" i="153"/>
  <c r="L34" i="151"/>
  <c r="O34" i="151"/>
  <c r="J44" i="151"/>
  <c r="D40" i="151"/>
  <c r="N40" i="151"/>
  <c r="O40" i="151"/>
  <c r="N31" i="152"/>
  <c r="O31" i="152"/>
  <c r="J47" i="152"/>
  <c r="L36" i="151"/>
  <c r="O36" i="151"/>
  <c r="D27" i="152"/>
  <c r="N27" i="152"/>
  <c r="O27" i="152"/>
  <c r="D34" i="152"/>
  <c r="L34" i="152"/>
  <c r="D38" i="152"/>
  <c r="D27" i="153"/>
  <c r="N27" i="153"/>
  <c r="O27" i="153"/>
  <c r="D39" i="152"/>
  <c r="M39" i="152"/>
  <c r="O39" i="152"/>
  <c r="D31" i="153"/>
  <c r="N31" i="153"/>
  <c r="O31" i="153"/>
  <c r="D28" i="151"/>
  <c r="N28" i="151"/>
  <c r="O28" i="151"/>
  <c r="N47" i="151"/>
  <c r="O47" i="151"/>
  <c r="D30" i="152"/>
  <c r="N30" i="152"/>
  <c r="O30" i="152"/>
  <c r="D37" i="152"/>
  <c r="L37" i="152"/>
  <c r="O37" i="152"/>
  <c r="D22" i="152"/>
  <c r="N22" i="152"/>
  <c r="O22" i="152"/>
  <c r="D35" i="152"/>
  <c r="L35" i="152"/>
  <c r="O35" i="152"/>
  <c r="J21" i="153"/>
  <c r="D35" i="153"/>
  <c r="L35" i="153"/>
  <c r="O35" i="153"/>
  <c r="D32" i="151"/>
  <c r="N32" i="151"/>
  <c r="O32" i="151"/>
  <c r="D48" i="151"/>
  <c r="L48" i="151"/>
  <c r="O48" i="151"/>
  <c r="D49" i="152"/>
  <c r="N49" i="152"/>
  <c r="O49" i="152"/>
  <c r="D51" i="152"/>
  <c r="N51" i="152"/>
  <c r="O51" i="152"/>
  <c r="D22" i="153"/>
  <c r="N22" i="153"/>
  <c r="O22" i="153"/>
  <c r="D39" i="153"/>
  <c r="M39" i="153"/>
  <c r="O39" i="153"/>
  <c r="D29" i="152"/>
  <c r="N29" i="152"/>
  <c r="O29" i="152"/>
  <c r="D52" i="151"/>
  <c r="N52" i="151"/>
  <c r="O52" i="151"/>
  <c r="O21" i="152"/>
  <c r="O21" i="153"/>
  <c r="N51" i="153"/>
  <c r="O51" i="153"/>
  <c r="D29" i="151"/>
  <c r="N29" i="151"/>
  <c r="O29" i="151"/>
  <c r="D37" i="151"/>
  <c r="L37" i="151"/>
  <c r="O37" i="151"/>
  <c r="D49" i="151"/>
  <c r="N49" i="151"/>
  <c r="O49" i="151"/>
  <c r="J21" i="152"/>
  <c r="D28" i="153"/>
  <c r="N28" i="153"/>
  <c r="O28" i="153"/>
  <c r="D32" i="153"/>
  <c r="N32" i="153"/>
  <c r="O32" i="153"/>
  <c r="D40" i="153"/>
  <c r="N40" i="153"/>
  <c r="O40" i="153"/>
  <c r="J44" i="153"/>
  <c r="D48" i="153"/>
  <c r="L48" i="153"/>
  <c r="O48" i="153"/>
  <c r="D52" i="153"/>
  <c r="N52" i="153"/>
  <c r="O52" i="153"/>
  <c r="D28" i="152"/>
  <c r="N28" i="152"/>
  <c r="O28" i="152"/>
  <c r="D32" i="152"/>
  <c r="N32" i="152"/>
  <c r="O32" i="152"/>
  <c r="D40" i="152"/>
  <c r="N40" i="152"/>
  <c r="O40" i="152"/>
  <c r="D52" i="152"/>
  <c r="N52" i="152"/>
  <c r="O52" i="152"/>
  <c r="D22" i="151"/>
  <c r="N22" i="151"/>
  <c r="O22" i="151"/>
  <c r="D27" i="151"/>
  <c r="N27" i="151"/>
  <c r="D31" i="151"/>
  <c r="N31" i="151"/>
  <c r="O31" i="151"/>
  <c r="D39" i="151"/>
  <c r="M39" i="151"/>
  <c r="D51" i="151"/>
  <c r="N51" i="151"/>
  <c r="O51" i="151"/>
  <c r="D30" i="153"/>
  <c r="N30" i="153"/>
  <c r="O30" i="153"/>
  <c r="D34" i="153"/>
  <c r="L34" i="153"/>
  <c r="D38" i="153"/>
  <c r="D45" i="153"/>
  <c r="O45" i="153"/>
  <c r="J47" i="153"/>
  <c r="D50" i="153"/>
  <c r="N50" i="153"/>
  <c r="O50" i="153"/>
  <c r="D45" i="152"/>
  <c r="O45" i="152"/>
  <c r="D50" i="152"/>
  <c r="N50" i="152"/>
  <c r="O50" i="152"/>
  <c r="D30" i="151"/>
  <c r="N30" i="151"/>
  <c r="O30" i="151"/>
  <c r="D38" i="151"/>
  <c r="D45" i="151"/>
  <c r="O45" i="151"/>
  <c r="D29" i="153"/>
  <c r="N29" i="153"/>
  <c r="O29" i="153"/>
  <c r="D49" i="153"/>
  <c r="N49" i="153"/>
  <c r="O49" i="153"/>
  <c r="D34" i="147"/>
  <c r="G37" i="146"/>
  <c r="D37" i="146"/>
  <c r="D42" i="154"/>
  <c r="N42" i="154"/>
  <c r="O42" i="154"/>
  <c r="D41" i="154"/>
  <c r="N41" i="154"/>
  <c r="O41" i="154"/>
  <c r="D46" i="154"/>
  <c r="O46" i="154"/>
  <c r="D34" i="154"/>
  <c r="N34" i="154"/>
  <c r="O34" i="154"/>
  <c r="D52" i="154"/>
  <c r="N52" i="154"/>
  <c r="O52" i="154"/>
  <c r="D40" i="154"/>
  <c r="M40" i="154"/>
  <c r="O40" i="154"/>
  <c r="D31" i="154"/>
  <c r="N31" i="154"/>
  <c r="O31" i="154"/>
  <c r="D28" i="154"/>
  <c r="N28" i="154"/>
  <c r="O28" i="154"/>
  <c r="D32" i="154"/>
  <c r="N32" i="154"/>
  <c r="O32" i="154"/>
  <c r="D30" i="154"/>
  <c r="N30" i="154"/>
  <c r="O30" i="154"/>
  <c r="D29" i="154"/>
  <c r="N29" i="154"/>
  <c r="O29" i="154"/>
  <c r="D50" i="154"/>
  <c r="N50" i="154"/>
  <c r="O50" i="154"/>
  <c r="L55" i="154"/>
  <c r="L57" i="154"/>
  <c r="O65" i="154"/>
  <c r="O23" i="151"/>
  <c r="O24" i="154"/>
  <c r="M55" i="152"/>
  <c r="M57" i="152"/>
  <c r="N24" i="154"/>
  <c r="N23" i="151"/>
  <c r="D46" i="151"/>
  <c r="N46" i="151"/>
  <c r="O46" i="151"/>
  <c r="L55" i="152"/>
  <c r="L57" i="152"/>
  <c r="O65" i="152"/>
  <c r="M55" i="153"/>
  <c r="M57" i="153"/>
  <c r="L55" i="151"/>
  <c r="L57" i="151"/>
  <c r="O65" i="151"/>
  <c r="O34" i="152"/>
  <c r="N23" i="153"/>
  <c r="L55" i="153"/>
  <c r="L57" i="153"/>
  <c r="O65" i="153"/>
  <c r="O34" i="153"/>
  <c r="O23" i="153"/>
  <c r="M55" i="151"/>
  <c r="M57" i="151"/>
  <c r="O39" i="151"/>
  <c r="O27" i="151"/>
  <c r="N23" i="152"/>
  <c r="O23" i="152"/>
  <c r="I32" i="147"/>
  <c r="J32" i="147"/>
  <c r="P32" i="147"/>
  <c r="P23" i="146"/>
  <c r="I23" i="146"/>
  <c r="C16" i="146"/>
  <c r="D23" i="146"/>
  <c r="C15" i="146"/>
  <c r="D22" i="146"/>
  <c r="M55" i="154"/>
  <c r="M57" i="154"/>
  <c r="D33" i="154"/>
  <c r="N33" i="154"/>
  <c r="D43" i="154"/>
  <c r="N43" i="154"/>
  <c r="O43" i="154"/>
  <c r="D35" i="154"/>
  <c r="N35" i="154"/>
  <c r="O35" i="154"/>
  <c r="D44" i="154"/>
  <c r="N44" i="154"/>
  <c r="O44" i="154"/>
  <c r="D47" i="154"/>
  <c r="N47" i="154"/>
  <c r="O47" i="154"/>
  <c r="D33" i="151"/>
  <c r="N33" i="151"/>
  <c r="O33" i="151"/>
  <c r="D43" i="151"/>
  <c r="N43" i="151"/>
  <c r="O43" i="151"/>
  <c r="D42" i="151"/>
  <c r="N42" i="151"/>
  <c r="O42" i="151"/>
  <c r="N23" i="146"/>
  <c r="O23" i="146"/>
  <c r="D33" i="153"/>
  <c r="N33" i="153"/>
  <c r="D42" i="153"/>
  <c r="N42" i="153"/>
  <c r="O42" i="153"/>
  <c r="D43" i="153"/>
  <c r="N43" i="153"/>
  <c r="O43" i="153"/>
  <c r="D46" i="153"/>
  <c r="N46" i="153"/>
  <c r="O46" i="153"/>
  <c r="D42" i="152"/>
  <c r="N42" i="152"/>
  <c r="O42" i="152"/>
  <c r="D43" i="152"/>
  <c r="N43" i="152"/>
  <c r="O43" i="152"/>
  <c r="D46" i="152"/>
  <c r="N46" i="152"/>
  <c r="O46" i="152"/>
  <c r="D33" i="152"/>
  <c r="N33" i="152"/>
  <c r="C17" i="146"/>
  <c r="J23" i="146"/>
  <c r="D42" i="146"/>
  <c r="D41" i="146"/>
  <c r="N41" i="146"/>
  <c r="O41" i="146"/>
  <c r="O33" i="154"/>
  <c r="O33" i="153"/>
  <c r="O33" i="152"/>
  <c r="I22" i="147"/>
  <c r="J22" i="147"/>
  <c r="P22" i="148"/>
  <c r="P22" i="146"/>
  <c r="P22" i="147"/>
  <c r="P22" i="149"/>
  <c r="I22" i="149"/>
  <c r="J22" i="149"/>
  <c r="I21" i="149"/>
  <c r="N21" i="149"/>
  <c r="P53" i="149"/>
  <c r="I53" i="149"/>
  <c r="J53" i="149"/>
  <c r="N53" i="149"/>
  <c r="O53" i="149"/>
  <c r="P52" i="149"/>
  <c r="I52" i="149"/>
  <c r="J52" i="149"/>
  <c r="P51" i="149"/>
  <c r="I51" i="149"/>
  <c r="J51" i="149"/>
  <c r="P50" i="149"/>
  <c r="I50" i="149"/>
  <c r="J50" i="149"/>
  <c r="P49" i="149"/>
  <c r="I49" i="149"/>
  <c r="J49" i="149"/>
  <c r="P48" i="149"/>
  <c r="J48" i="149"/>
  <c r="P47" i="149"/>
  <c r="I47" i="149"/>
  <c r="J47" i="149"/>
  <c r="P46" i="149"/>
  <c r="I46" i="149"/>
  <c r="J46" i="149"/>
  <c r="P45" i="149"/>
  <c r="J45" i="149"/>
  <c r="P44" i="149"/>
  <c r="I44" i="149"/>
  <c r="N44" i="149"/>
  <c r="O44" i="149"/>
  <c r="P43" i="149"/>
  <c r="I43" i="149"/>
  <c r="J43" i="149"/>
  <c r="P42" i="149"/>
  <c r="I42" i="149"/>
  <c r="J42" i="149"/>
  <c r="P41" i="149"/>
  <c r="I41" i="149"/>
  <c r="J41" i="149"/>
  <c r="N41" i="149"/>
  <c r="O41" i="149"/>
  <c r="P40" i="149"/>
  <c r="I40" i="149"/>
  <c r="J40" i="149"/>
  <c r="P39" i="149"/>
  <c r="H39" i="149"/>
  <c r="J39" i="149"/>
  <c r="P38" i="149"/>
  <c r="P37" i="149"/>
  <c r="G37" i="149"/>
  <c r="J37" i="149"/>
  <c r="P36" i="149"/>
  <c r="J36" i="149"/>
  <c r="P35" i="149"/>
  <c r="J35" i="149"/>
  <c r="P34" i="149"/>
  <c r="J34" i="149"/>
  <c r="P33" i="149"/>
  <c r="I33" i="149"/>
  <c r="J33" i="149"/>
  <c r="P32" i="149"/>
  <c r="I32" i="149"/>
  <c r="J32" i="149"/>
  <c r="P31" i="149"/>
  <c r="I31" i="149"/>
  <c r="J31" i="149"/>
  <c r="P30" i="149"/>
  <c r="I30" i="149"/>
  <c r="J30" i="149"/>
  <c r="P29" i="149"/>
  <c r="I29" i="149"/>
  <c r="J29" i="149"/>
  <c r="P28" i="149"/>
  <c r="I28" i="149"/>
  <c r="J28" i="149"/>
  <c r="P27" i="149"/>
  <c r="I27" i="149"/>
  <c r="J27" i="149"/>
  <c r="C17" i="149"/>
  <c r="D36" i="149"/>
  <c r="C16" i="149"/>
  <c r="D35" i="149"/>
  <c r="C15" i="149"/>
  <c r="AD13" i="149"/>
  <c r="AC13" i="149"/>
  <c r="AB13" i="149"/>
  <c r="AA13" i="149"/>
  <c r="Z13" i="149"/>
  <c r="Y13" i="149"/>
  <c r="X13" i="149"/>
  <c r="W13" i="149"/>
  <c r="V13" i="149"/>
  <c r="U13" i="149"/>
  <c r="T13" i="149"/>
  <c r="S13" i="149"/>
  <c r="D11" i="149"/>
  <c r="B11" i="149"/>
  <c r="C11" i="149"/>
  <c r="C10" i="149"/>
  <c r="C9" i="149"/>
  <c r="A6" i="149"/>
  <c r="A4" i="149"/>
  <c r="I22" i="148"/>
  <c r="J22" i="148"/>
  <c r="I21" i="148"/>
  <c r="J21" i="148"/>
  <c r="P53" i="148"/>
  <c r="I53" i="148"/>
  <c r="J53" i="148"/>
  <c r="N53" i="148"/>
  <c r="O53" i="148"/>
  <c r="P52" i="148"/>
  <c r="I52" i="148"/>
  <c r="J52" i="148"/>
  <c r="P51" i="148"/>
  <c r="I51" i="148"/>
  <c r="J51" i="148"/>
  <c r="P50" i="148"/>
  <c r="I50" i="148"/>
  <c r="J50" i="148"/>
  <c r="P49" i="148"/>
  <c r="I49" i="148"/>
  <c r="J49" i="148"/>
  <c r="P48" i="148"/>
  <c r="J48" i="148"/>
  <c r="P47" i="148"/>
  <c r="I47" i="148"/>
  <c r="N47" i="148"/>
  <c r="O47" i="148"/>
  <c r="P46" i="148"/>
  <c r="I46" i="148"/>
  <c r="J46" i="148"/>
  <c r="P45" i="148"/>
  <c r="J45" i="148"/>
  <c r="P44" i="148"/>
  <c r="I44" i="148"/>
  <c r="P43" i="148"/>
  <c r="I43" i="148"/>
  <c r="J43" i="148"/>
  <c r="P42" i="148"/>
  <c r="I42" i="148"/>
  <c r="J42" i="148"/>
  <c r="P41" i="148"/>
  <c r="I41" i="148"/>
  <c r="J41" i="148"/>
  <c r="N41" i="148"/>
  <c r="O41" i="148"/>
  <c r="P40" i="148"/>
  <c r="I40" i="148"/>
  <c r="J40" i="148"/>
  <c r="P39" i="148"/>
  <c r="H39" i="148"/>
  <c r="J39" i="148"/>
  <c r="P38" i="148"/>
  <c r="P37" i="148"/>
  <c r="G37" i="148"/>
  <c r="J37" i="148"/>
  <c r="P36" i="148"/>
  <c r="J36" i="148"/>
  <c r="P35" i="148"/>
  <c r="J35" i="148"/>
  <c r="P34" i="148"/>
  <c r="J34" i="148"/>
  <c r="P33" i="148"/>
  <c r="I33" i="148"/>
  <c r="J33" i="148"/>
  <c r="P32" i="148"/>
  <c r="I32" i="148"/>
  <c r="J32" i="148"/>
  <c r="P31" i="148"/>
  <c r="I31" i="148"/>
  <c r="J31" i="148"/>
  <c r="P30" i="148"/>
  <c r="I30" i="148"/>
  <c r="J30" i="148"/>
  <c r="P29" i="148"/>
  <c r="I29" i="148"/>
  <c r="J29" i="148"/>
  <c r="P28" i="148"/>
  <c r="I28" i="148"/>
  <c r="J28" i="148"/>
  <c r="P27" i="148"/>
  <c r="I27" i="148"/>
  <c r="J27" i="148"/>
  <c r="C17" i="148"/>
  <c r="D36" i="148"/>
  <c r="C16" i="148"/>
  <c r="D35" i="148"/>
  <c r="C15" i="148"/>
  <c r="AD13" i="148"/>
  <c r="AC13" i="148"/>
  <c r="AB13" i="148"/>
  <c r="AA13" i="148"/>
  <c r="Z13" i="148"/>
  <c r="Y13" i="148"/>
  <c r="X13" i="148"/>
  <c r="W13" i="148"/>
  <c r="V13" i="148"/>
  <c r="U13" i="148"/>
  <c r="T13" i="148"/>
  <c r="S13" i="148"/>
  <c r="D11" i="148"/>
  <c r="B11" i="148"/>
  <c r="C11" i="148"/>
  <c r="C10" i="148"/>
  <c r="C9" i="148"/>
  <c r="A6" i="148"/>
  <c r="A4" i="148"/>
  <c r="I21" i="147"/>
  <c r="N21" i="147"/>
  <c r="O21" i="147"/>
  <c r="P53" i="147"/>
  <c r="I53" i="147"/>
  <c r="J53" i="147"/>
  <c r="N53" i="147"/>
  <c r="O53" i="147"/>
  <c r="P52" i="147"/>
  <c r="I52" i="147"/>
  <c r="J52" i="147"/>
  <c r="P51" i="147"/>
  <c r="I51" i="147"/>
  <c r="J51" i="147"/>
  <c r="P50" i="147"/>
  <c r="I50" i="147"/>
  <c r="J50" i="147"/>
  <c r="P49" i="147"/>
  <c r="I49" i="147"/>
  <c r="J49" i="147"/>
  <c r="P48" i="147"/>
  <c r="G48" i="147"/>
  <c r="J48" i="147"/>
  <c r="P47" i="147"/>
  <c r="I47" i="147"/>
  <c r="N47" i="147"/>
  <c r="O47" i="147"/>
  <c r="P46" i="147"/>
  <c r="I46" i="147"/>
  <c r="J46" i="147"/>
  <c r="P45" i="147"/>
  <c r="J45" i="147"/>
  <c r="P44" i="147"/>
  <c r="I44" i="147"/>
  <c r="N44" i="147"/>
  <c r="O44" i="147"/>
  <c r="P43" i="147"/>
  <c r="I43" i="147"/>
  <c r="J43" i="147"/>
  <c r="P42" i="147"/>
  <c r="I42" i="147"/>
  <c r="J42" i="147"/>
  <c r="P41" i="147"/>
  <c r="I41" i="147"/>
  <c r="J41" i="147"/>
  <c r="N41" i="147"/>
  <c r="O41" i="147"/>
  <c r="P40" i="147"/>
  <c r="I40" i="147"/>
  <c r="J40" i="147"/>
  <c r="P39" i="147"/>
  <c r="H39" i="147"/>
  <c r="J39" i="147"/>
  <c r="P38" i="147"/>
  <c r="P37" i="147"/>
  <c r="G37" i="147"/>
  <c r="J37" i="147"/>
  <c r="P36" i="147"/>
  <c r="J36" i="147"/>
  <c r="P35" i="147"/>
  <c r="J35" i="147"/>
  <c r="P34" i="147"/>
  <c r="G34" i="147"/>
  <c r="J34" i="147"/>
  <c r="P33" i="147"/>
  <c r="I33" i="147"/>
  <c r="J33" i="147"/>
  <c r="P31" i="147"/>
  <c r="I31" i="147"/>
  <c r="J31" i="147"/>
  <c r="P30" i="147"/>
  <c r="I30" i="147"/>
  <c r="J30" i="147"/>
  <c r="P29" i="147"/>
  <c r="I29" i="147"/>
  <c r="J29" i="147"/>
  <c r="P28" i="147"/>
  <c r="I28" i="147"/>
  <c r="J28" i="147"/>
  <c r="P27" i="147"/>
  <c r="I27" i="147"/>
  <c r="J27" i="147"/>
  <c r="C17" i="147"/>
  <c r="D36" i="147"/>
  <c r="C16" i="147"/>
  <c r="D35" i="147"/>
  <c r="C15" i="147"/>
  <c r="AD13" i="147"/>
  <c r="AC13" i="147"/>
  <c r="AB13" i="147"/>
  <c r="AA13" i="147"/>
  <c r="Z13" i="147"/>
  <c r="Y13" i="147"/>
  <c r="X13" i="147"/>
  <c r="W13" i="147"/>
  <c r="V13" i="147"/>
  <c r="U13" i="147"/>
  <c r="T13" i="147"/>
  <c r="S13" i="147"/>
  <c r="D11" i="147"/>
  <c r="B11" i="147"/>
  <c r="C11" i="147"/>
  <c r="C10" i="147"/>
  <c r="C9" i="147"/>
  <c r="A6" i="147"/>
  <c r="A4" i="147"/>
  <c r="I22" i="146"/>
  <c r="J22" i="146"/>
  <c r="I21" i="146"/>
  <c r="J21" i="146"/>
  <c r="P53" i="146"/>
  <c r="I53" i="146"/>
  <c r="J53" i="146"/>
  <c r="N53" i="146"/>
  <c r="O53" i="146"/>
  <c r="P52" i="146"/>
  <c r="I52" i="146"/>
  <c r="J52" i="146"/>
  <c r="P51" i="146"/>
  <c r="I51" i="146"/>
  <c r="J51" i="146"/>
  <c r="N51" i="146"/>
  <c r="O51" i="146"/>
  <c r="P50" i="146"/>
  <c r="I50" i="146"/>
  <c r="J50" i="146"/>
  <c r="P49" i="146"/>
  <c r="G49" i="146"/>
  <c r="J49" i="146"/>
  <c r="D49" i="146"/>
  <c r="P48" i="146"/>
  <c r="I48" i="146"/>
  <c r="N48" i="146"/>
  <c r="O48" i="146"/>
  <c r="P47" i="146"/>
  <c r="I47" i="146"/>
  <c r="J47" i="146"/>
  <c r="P46" i="146"/>
  <c r="J46" i="146"/>
  <c r="P45" i="146"/>
  <c r="I45" i="146"/>
  <c r="N45" i="146"/>
  <c r="O45" i="146"/>
  <c r="P44" i="146"/>
  <c r="I44" i="146"/>
  <c r="J44" i="146"/>
  <c r="P43" i="146"/>
  <c r="I43" i="146"/>
  <c r="J43" i="146"/>
  <c r="P42" i="146"/>
  <c r="I42" i="146"/>
  <c r="J42" i="146"/>
  <c r="P40" i="146"/>
  <c r="H40" i="146"/>
  <c r="J40" i="146"/>
  <c r="P39" i="146"/>
  <c r="P38" i="146"/>
  <c r="G38" i="146"/>
  <c r="J38" i="146"/>
  <c r="D38" i="146"/>
  <c r="P37" i="146"/>
  <c r="P36" i="146"/>
  <c r="G36" i="146"/>
  <c r="J36" i="146"/>
  <c r="D36" i="146"/>
  <c r="P35" i="146"/>
  <c r="I35" i="146"/>
  <c r="J35" i="146"/>
  <c r="P34" i="146"/>
  <c r="I34" i="146"/>
  <c r="J34" i="146"/>
  <c r="P33" i="146"/>
  <c r="I33" i="146"/>
  <c r="J33" i="146"/>
  <c r="P32" i="146"/>
  <c r="I32" i="146"/>
  <c r="J32" i="146"/>
  <c r="P31" i="146"/>
  <c r="I31" i="146"/>
  <c r="J31" i="146"/>
  <c r="P30" i="146"/>
  <c r="I30" i="146"/>
  <c r="J30" i="146"/>
  <c r="P29" i="146"/>
  <c r="I29" i="146"/>
  <c r="J29" i="146"/>
  <c r="P28" i="146"/>
  <c r="I28" i="146"/>
  <c r="J28" i="146"/>
  <c r="AD17" i="146"/>
  <c r="AC17" i="146"/>
  <c r="AB17" i="146"/>
  <c r="AA17" i="146"/>
  <c r="Z17" i="146"/>
  <c r="Y17" i="146"/>
  <c r="X17" i="146"/>
  <c r="W17" i="146"/>
  <c r="V17" i="146"/>
  <c r="U17" i="146"/>
  <c r="T17" i="146"/>
  <c r="S17" i="146"/>
  <c r="D11" i="146"/>
  <c r="B11" i="146"/>
  <c r="C11" i="146"/>
  <c r="C10" i="146"/>
  <c r="C9" i="146"/>
  <c r="A6" i="146"/>
  <c r="A4" i="146"/>
  <c r="D52" i="148"/>
  <c r="N52" i="148"/>
  <c r="O52" i="148"/>
  <c r="D34" i="148"/>
  <c r="D22" i="149"/>
  <c r="N22" i="149"/>
  <c r="O22" i="149"/>
  <c r="D34" i="149"/>
  <c r="D32" i="149"/>
  <c r="N32" i="149"/>
  <c r="O32" i="149"/>
  <c r="D27" i="148"/>
  <c r="N27" i="148"/>
  <c r="O27" i="148"/>
  <c r="L35" i="148"/>
  <c r="O35" i="148"/>
  <c r="L35" i="149"/>
  <c r="O35" i="149"/>
  <c r="D37" i="149"/>
  <c r="L37" i="149"/>
  <c r="O37" i="149"/>
  <c r="L36" i="149"/>
  <c r="O36" i="149"/>
  <c r="N47" i="149"/>
  <c r="O47" i="149"/>
  <c r="D37" i="148"/>
  <c r="L37" i="148"/>
  <c r="O37" i="148"/>
  <c r="D40" i="148"/>
  <c r="N40" i="148"/>
  <c r="O40" i="148"/>
  <c r="D32" i="148"/>
  <c r="N32" i="148"/>
  <c r="O32" i="148"/>
  <c r="D37" i="147"/>
  <c r="L37" i="147"/>
  <c r="O37" i="147"/>
  <c r="D52" i="147"/>
  <c r="N52" i="147"/>
  <c r="O52" i="147"/>
  <c r="D32" i="147"/>
  <c r="N32" i="147"/>
  <c r="O32" i="147"/>
  <c r="D40" i="147"/>
  <c r="N40" i="147"/>
  <c r="O40" i="147"/>
  <c r="D48" i="147"/>
  <c r="L48" i="147"/>
  <c r="O48" i="147"/>
  <c r="D30" i="147"/>
  <c r="N30" i="147"/>
  <c r="O30" i="147"/>
  <c r="J47" i="147"/>
  <c r="J44" i="147"/>
  <c r="L49" i="146"/>
  <c r="O49" i="146"/>
  <c r="L38" i="146"/>
  <c r="O38" i="146"/>
  <c r="L36" i="146"/>
  <c r="J48" i="146"/>
  <c r="L37" i="146"/>
  <c r="O37" i="146"/>
  <c r="D28" i="148"/>
  <c r="N28" i="148"/>
  <c r="O28" i="148"/>
  <c r="D22" i="147"/>
  <c r="N22" i="147"/>
  <c r="D22" i="148"/>
  <c r="N22" i="148"/>
  <c r="O22" i="148"/>
  <c r="D31" i="148"/>
  <c r="N31" i="148"/>
  <c r="O31" i="148"/>
  <c r="D51" i="148"/>
  <c r="N51" i="148"/>
  <c r="O51" i="148"/>
  <c r="D28" i="147"/>
  <c r="N28" i="147"/>
  <c r="O28" i="147"/>
  <c r="D39" i="148"/>
  <c r="M39" i="148"/>
  <c r="M55" i="148"/>
  <c r="M57" i="148"/>
  <c r="D29" i="148"/>
  <c r="N29" i="148"/>
  <c r="O29" i="148"/>
  <c r="D49" i="148"/>
  <c r="N49" i="148"/>
  <c r="O49" i="148"/>
  <c r="O21" i="149"/>
  <c r="J21" i="149"/>
  <c r="D28" i="149"/>
  <c r="N28" i="149"/>
  <c r="O28" i="149"/>
  <c r="D40" i="149"/>
  <c r="N40" i="149"/>
  <c r="O40" i="149"/>
  <c r="J44" i="149"/>
  <c r="D48" i="149"/>
  <c r="L48" i="149"/>
  <c r="O48" i="149"/>
  <c r="D52" i="149"/>
  <c r="N52" i="149"/>
  <c r="O52" i="149"/>
  <c r="D27" i="149"/>
  <c r="N27" i="149"/>
  <c r="D31" i="149"/>
  <c r="N31" i="149"/>
  <c r="O31" i="149"/>
  <c r="D39" i="149"/>
  <c r="M39" i="149"/>
  <c r="D51" i="149"/>
  <c r="N51" i="149"/>
  <c r="O51" i="149"/>
  <c r="D30" i="149"/>
  <c r="N30" i="149"/>
  <c r="O30" i="149"/>
  <c r="D38" i="149"/>
  <c r="D45" i="149"/>
  <c r="O45" i="149"/>
  <c r="D50" i="149"/>
  <c r="N50" i="149"/>
  <c r="O50" i="149"/>
  <c r="D29" i="149"/>
  <c r="N29" i="149"/>
  <c r="O29" i="149"/>
  <c r="D49" i="149"/>
  <c r="N49" i="149"/>
  <c r="O49" i="149"/>
  <c r="N21" i="148"/>
  <c r="O21" i="148"/>
  <c r="D48" i="148"/>
  <c r="L48" i="148"/>
  <c r="O48" i="148"/>
  <c r="L36" i="148"/>
  <c r="O36" i="148"/>
  <c r="N44" i="148"/>
  <c r="O44" i="148"/>
  <c r="J44" i="148"/>
  <c r="D30" i="148"/>
  <c r="N30" i="148"/>
  <c r="O30" i="148"/>
  <c r="D38" i="148"/>
  <c r="D45" i="148"/>
  <c r="O45" i="148"/>
  <c r="J47" i="148"/>
  <c r="D50" i="148"/>
  <c r="N50" i="148"/>
  <c r="O50" i="148"/>
  <c r="J21" i="147"/>
  <c r="L36" i="147"/>
  <c r="O36" i="147"/>
  <c r="D27" i="147"/>
  <c r="N27" i="147"/>
  <c r="D31" i="147"/>
  <c r="N31" i="147"/>
  <c r="O31" i="147"/>
  <c r="L35" i="147"/>
  <c r="O35" i="147"/>
  <c r="D39" i="147"/>
  <c r="M39" i="147"/>
  <c r="D51" i="147"/>
  <c r="N51" i="147"/>
  <c r="O51" i="147"/>
  <c r="D38" i="147"/>
  <c r="D45" i="147"/>
  <c r="O45" i="147"/>
  <c r="D50" i="147"/>
  <c r="N50" i="147"/>
  <c r="O50" i="147"/>
  <c r="D29" i="147"/>
  <c r="N29" i="147"/>
  <c r="O29" i="147"/>
  <c r="D49" i="147"/>
  <c r="N49" i="147"/>
  <c r="O49" i="147"/>
  <c r="N21" i="146"/>
  <c r="D46" i="146"/>
  <c r="O46" i="146"/>
  <c r="D50" i="146"/>
  <c r="N50" i="146"/>
  <c r="O50" i="146"/>
  <c r="D40" i="146"/>
  <c r="M40" i="146"/>
  <c r="D29" i="146"/>
  <c r="N29" i="146"/>
  <c r="O29" i="146"/>
  <c r="J45" i="146"/>
  <c r="D31" i="146"/>
  <c r="N31" i="146"/>
  <c r="O31" i="146"/>
  <c r="D34" i="146"/>
  <c r="N34" i="146"/>
  <c r="O34" i="146"/>
  <c r="D52" i="146"/>
  <c r="N52" i="146"/>
  <c r="O52" i="146"/>
  <c r="D28" i="146"/>
  <c r="N28" i="146"/>
  <c r="D32" i="146"/>
  <c r="N32" i="146"/>
  <c r="O32" i="146"/>
  <c r="J37" i="146"/>
  <c r="N42" i="146"/>
  <c r="O42" i="146"/>
  <c r="D30" i="146"/>
  <c r="N30" i="146"/>
  <c r="O30" i="146"/>
  <c r="P53" i="145"/>
  <c r="I53" i="145"/>
  <c r="J53" i="145"/>
  <c r="N53" i="145"/>
  <c r="O53" i="145"/>
  <c r="P52" i="145"/>
  <c r="I52" i="145"/>
  <c r="J52" i="145"/>
  <c r="P51" i="145"/>
  <c r="I51" i="145"/>
  <c r="J51" i="145"/>
  <c r="P50" i="145"/>
  <c r="I50" i="145"/>
  <c r="J50" i="145"/>
  <c r="P49" i="145"/>
  <c r="I49" i="145"/>
  <c r="J49" i="145"/>
  <c r="P48" i="145"/>
  <c r="J48" i="145"/>
  <c r="P47" i="145"/>
  <c r="I47" i="145"/>
  <c r="N47" i="145"/>
  <c r="O47" i="145"/>
  <c r="P46" i="145"/>
  <c r="I46" i="145"/>
  <c r="J46" i="145"/>
  <c r="P45" i="145"/>
  <c r="J45" i="145"/>
  <c r="P44" i="145"/>
  <c r="I44" i="145"/>
  <c r="N44" i="145"/>
  <c r="O44" i="145"/>
  <c r="P43" i="145"/>
  <c r="I43" i="145"/>
  <c r="J43" i="145"/>
  <c r="P42" i="145"/>
  <c r="I42" i="145"/>
  <c r="J42" i="145"/>
  <c r="P41" i="145"/>
  <c r="I41" i="145"/>
  <c r="J41" i="145"/>
  <c r="N41" i="145"/>
  <c r="O41" i="145"/>
  <c r="P40" i="145"/>
  <c r="I40" i="145"/>
  <c r="J40" i="145"/>
  <c r="P39" i="145"/>
  <c r="H39" i="145"/>
  <c r="J39" i="145"/>
  <c r="P38" i="145"/>
  <c r="P37" i="145"/>
  <c r="J37" i="145"/>
  <c r="P36" i="145"/>
  <c r="J36" i="145"/>
  <c r="P35" i="145"/>
  <c r="J35" i="145"/>
  <c r="P34" i="145"/>
  <c r="J34" i="145"/>
  <c r="P33" i="145"/>
  <c r="I33" i="145"/>
  <c r="J33" i="145"/>
  <c r="P32" i="145"/>
  <c r="I32" i="145"/>
  <c r="J32" i="145"/>
  <c r="P31" i="145"/>
  <c r="I31" i="145"/>
  <c r="J31" i="145"/>
  <c r="P30" i="145"/>
  <c r="I30" i="145"/>
  <c r="J30" i="145"/>
  <c r="P29" i="145"/>
  <c r="I29" i="145"/>
  <c r="J29" i="145"/>
  <c r="P28" i="145"/>
  <c r="I28" i="145"/>
  <c r="J28" i="145"/>
  <c r="P27" i="145"/>
  <c r="I27" i="145"/>
  <c r="J27" i="145"/>
  <c r="J22" i="145"/>
  <c r="N21" i="145"/>
  <c r="O21" i="145"/>
  <c r="J21" i="145"/>
  <c r="C17" i="145"/>
  <c r="D36" i="145"/>
  <c r="O36" i="145"/>
  <c r="C16" i="145"/>
  <c r="C15" i="145"/>
  <c r="D28" i="145"/>
  <c r="AD13" i="145"/>
  <c r="AC13" i="145"/>
  <c r="AB13" i="145"/>
  <c r="AA13" i="145"/>
  <c r="Z13" i="145"/>
  <c r="Y13" i="145"/>
  <c r="X13" i="145"/>
  <c r="W13" i="145"/>
  <c r="V13" i="145"/>
  <c r="U13" i="145"/>
  <c r="T13" i="145"/>
  <c r="S13" i="145"/>
  <c r="D11" i="145"/>
  <c r="B11" i="145"/>
  <c r="C11" i="145"/>
  <c r="C10" i="145"/>
  <c r="C9" i="145"/>
  <c r="A6" i="145"/>
  <c r="A4" i="145"/>
  <c r="P53" i="144"/>
  <c r="I53" i="144"/>
  <c r="J53" i="144"/>
  <c r="N53" i="144"/>
  <c r="O53" i="144"/>
  <c r="P52" i="144"/>
  <c r="I52" i="144"/>
  <c r="J52" i="144"/>
  <c r="P51" i="144"/>
  <c r="I51" i="144"/>
  <c r="J51" i="144"/>
  <c r="P50" i="144"/>
  <c r="I50" i="144"/>
  <c r="J50" i="144"/>
  <c r="P49" i="144"/>
  <c r="I49" i="144"/>
  <c r="J49" i="144"/>
  <c r="P48" i="144"/>
  <c r="G48" i="144"/>
  <c r="J48" i="144"/>
  <c r="P47" i="144"/>
  <c r="I47" i="144"/>
  <c r="N47" i="144"/>
  <c r="O47" i="144"/>
  <c r="P46" i="144"/>
  <c r="I46" i="144"/>
  <c r="J46" i="144"/>
  <c r="P45" i="144"/>
  <c r="J45" i="144"/>
  <c r="P44" i="144"/>
  <c r="I44" i="144"/>
  <c r="N44" i="144"/>
  <c r="O44" i="144"/>
  <c r="P43" i="144"/>
  <c r="I43" i="144"/>
  <c r="J43" i="144"/>
  <c r="P42" i="144"/>
  <c r="I42" i="144"/>
  <c r="J42" i="144"/>
  <c r="P41" i="144"/>
  <c r="I41" i="144"/>
  <c r="J41" i="144"/>
  <c r="N41" i="144"/>
  <c r="O41" i="144"/>
  <c r="P40" i="144"/>
  <c r="I40" i="144"/>
  <c r="J40" i="144"/>
  <c r="P39" i="144"/>
  <c r="H39" i="144"/>
  <c r="J39" i="144"/>
  <c r="P38" i="144"/>
  <c r="P37" i="144"/>
  <c r="G37" i="144"/>
  <c r="J37" i="144"/>
  <c r="P36" i="144"/>
  <c r="G36" i="144"/>
  <c r="J36" i="144"/>
  <c r="P35" i="144"/>
  <c r="G35" i="144"/>
  <c r="J35" i="144"/>
  <c r="P34" i="144"/>
  <c r="G34" i="144"/>
  <c r="J34" i="144"/>
  <c r="P33" i="144"/>
  <c r="I33" i="144"/>
  <c r="J33" i="144"/>
  <c r="P32" i="144"/>
  <c r="I32" i="144"/>
  <c r="J32" i="144"/>
  <c r="P31" i="144"/>
  <c r="I31" i="144"/>
  <c r="J31" i="144"/>
  <c r="P30" i="144"/>
  <c r="I30" i="144"/>
  <c r="J30" i="144"/>
  <c r="P29" i="144"/>
  <c r="I29" i="144"/>
  <c r="J29" i="144"/>
  <c r="P28" i="144"/>
  <c r="I28" i="144"/>
  <c r="J28" i="144"/>
  <c r="P27" i="144"/>
  <c r="I27" i="144"/>
  <c r="J27" i="144"/>
  <c r="J22" i="144"/>
  <c r="N21" i="144"/>
  <c r="O21" i="144"/>
  <c r="J21" i="144"/>
  <c r="C17" i="144"/>
  <c r="C16" i="144"/>
  <c r="D35" i="144"/>
  <c r="C15" i="144"/>
  <c r="D51" i="144"/>
  <c r="AD13" i="144"/>
  <c r="AC13" i="144"/>
  <c r="AB13" i="144"/>
  <c r="AA13" i="144"/>
  <c r="Z13" i="144"/>
  <c r="Y13" i="144"/>
  <c r="X13" i="144"/>
  <c r="W13" i="144"/>
  <c r="V13" i="144"/>
  <c r="U13" i="144"/>
  <c r="T13" i="144"/>
  <c r="S13" i="144"/>
  <c r="D11" i="144"/>
  <c r="B11" i="144"/>
  <c r="C11" i="144"/>
  <c r="C10" i="144"/>
  <c r="C9" i="144"/>
  <c r="A6" i="144"/>
  <c r="A4" i="144"/>
  <c r="G39" i="130"/>
  <c r="P21" i="133"/>
  <c r="P20" i="132"/>
  <c r="P19" i="132"/>
  <c r="P33" i="119"/>
  <c r="P32" i="119"/>
  <c r="J47" i="145"/>
  <c r="J47" i="144"/>
  <c r="N51" i="144"/>
  <c r="O51" i="144"/>
  <c r="N28" i="145"/>
  <c r="O28" i="145"/>
  <c r="O21" i="146"/>
  <c r="L55" i="146"/>
  <c r="L57" i="146"/>
  <c r="O65" i="146"/>
  <c r="O36" i="146"/>
  <c r="N23" i="148"/>
  <c r="D43" i="148"/>
  <c r="N43" i="148"/>
  <c r="O43" i="148"/>
  <c r="N22" i="146"/>
  <c r="O22" i="146"/>
  <c r="O39" i="148"/>
  <c r="N23" i="149"/>
  <c r="D33" i="149"/>
  <c r="N33" i="149"/>
  <c r="O33" i="149"/>
  <c r="O23" i="149"/>
  <c r="O39" i="149"/>
  <c r="M55" i="149"/>
  <c r="M57" i="149"/>
  <c r="O27" i="149"/>
  <c r="O23" i="148"/>
  <c r="O39" i="147"/>
  <c r="M55" i="147"/>
  <c r="M57" i="147"/>
  <c r="N23" i="147"/>
  <c r="D42" i="147"/>
  <c r="O22" i="147"/>
  <c r="O23" i="147"/>
  <c r="O27" i="147"/>
  <c r="O28" i="146"/>
  <c r="M55" i="146"/>
  <c r="M57" i="146"/>
  <c r="O40" i="146"/>
  <c r="D28" i="144"/>
  <c r="N28" i="144"/>
  <c r="O28" i="144"/>
  <c r="D31" i="144"/>
  <c r="N31" i="144"/>
  <c r="O31" i="144"/>
  <c r="D37" i="145"/>
  <c r="O37" i="145"/>
  <c r="D37" i="144"/>
  <c r="L37" i="144"/>
  <c r="O37" i="144"/>
  <c r="D39" i="144"/>
  <c r="M39" i="144"/>
  <c r="O39" i="144"/>
  <c r="D52" i="144"/>
  <c r="N52" i="144"/>
  <c r="O52" i="144"/>
  <c r="D40" i="144"/>
  <c r="N40" i="144"/>
  <c r="O40" i="144"/>
  <c r="D27" i="144"/>
  <c r="N27" i="144"/>
  <c r="O27" i="144"/>
  <c r="D32" i="144"/>
  <c r="N32" i="144"/>
  <c r="O32" i="144"/>
  <c r="D32" i="145"/>
  <c r="N32" i="145"/>
  <c r="O32" i="145"/>
  <c r="D48" i="145"/>
  <c r="O48" i="145"/>
  <c r="D34" i="144"/>
  <c r="L34" i="144"/>
  <c r="O34" i="144"/>
  <c r="D40" i="145"/>
  <c r="N40" i="145"/>
  <c r="O40" i="145"/>
  <c r="D52" i="145"/>
  <c r="N52" i="145"/>
  <c r="O52" i="145"/>
  <c r="L35" i="144"/>
  <c r="O35" i="144"/>
  <c r="J44" i="145"/>
  <c r="J44" i="144"/>
  <c r="D27" i="145"/>
  <c r="N27" i="145"/>
  <c r="D31" i="145"/>
  <c r="N31" i="145"/>
  <c r="O31" i="145"/>
  <c r="D35" i="145"/>
  <c r="O35" i="145"/>
  <c r="D39" i="145"/>
  <c r="M39" i="145"/>
  <c r="D51" i="145"/>
  <c r="N51" i="145"/>
  <c r="O51" i="145"/>
  <c r="D22" i="145"/>
  <c r="N22" i="145"/>
  <c r="D30" i="145"/>
  <c r="N30" i="145"/>
  <c r="O30" i="145"/>
  <c r="D34" i="145"/>
  <c r="D38" i="145"/>
  <c r="D45" i="145"/>
  <c r="O45" i="145"/>
  <c r="D50" i="145"/>
  <c r="N50" i="145"/>
  <c r="O50" i="145"/>
  <c r="D29" i="145"/>
  <c r="N29" i="145"/>
  <c r="O29" i="145"/>
  <c r="D49" i="145"/>
  <c r="N49" i="145"/>
  <c r="O49" i="145"/>
  <c r="D48" i="144"/>
  <c r="L48" i="144"/>
  <c r="O48" i="144"/>
  <c r="D36" i="144"/>
  <c r="L36" i="144"/>
  <c r="O36" i="144"/>
  <c r="D22" i="144"/>
  <c r="N22" i="144"/>
  <c r="D30" i="144"/>
  <c r="N30" i="144"/>
  <c r="O30" i="144"/>
  <c r="D38" i="144"/>
  <c r="D45" i="144"/>
  <c r="O45" i="144"/>
  <c r="D50" i="144"/>
  <c r="N50" i="144"/>
  <c r="O50" i="144"/>
  <c r="D29" i="144"/>
  <c r="N29" i="144"/>
  <c r="O29" i="144"/>
  <c r="D49" i="144"/>
  <c r="N49" i="144"/>
  <c r="O49" i="144"/>
  <c r="J39" i="130"/>
  <c r="O24" i="146"/>
  <c r="N24" i="146"/>
  <c r="D44" i="146"/>
  <c r="N44" i="146"/>
  <c r="O44" i="146"/>
  <c r="D33" i="148"/>
  <c r="N33" i="148"/>
  <c r="O33" i="148"/>
  <c r="D46" i="148"/>
  <c r="N46" i="148"/>
  <c r="O46" i="148"/>
  <c r="D42" i="148"/>
  <c r="N42" i="148"/>
  <c r="O42" i="148"/>
  <c r="D46" i="149"/>
  <c r="N46" i="149"/>
  <c r="O46" i="149"/>
  <c r="D43" i="149"/>
  <c r="N43" i="149"/>
  <c r="O43" i="149"/>
  <c r="D42" i="149"/>
  <c r="N42" i="149"/>
  <c r="O42" i="149"/>
  <c r="D33" i="147"/>
  <c r="N33" i="147"/>
  <c r="N42" i="147"/>
  <c r="O42" i="147"/>
  <c r="D46" i="147"/>
  <c r="N46" i="147"/>
  <c r="O46" i="147"/>
  <c r="D43" i="147"/>
  <c r="N43" i="147"/>
  <c r="O43" i="147"/>
  <c r="M55" i="144"/>
  <c r="M57" i="144"/>
  <c r="O22" i="145"/>
  <c r="O23" i="145"/>
  <c r="N23" i="145"/>
  <c r="O39" i="145"/>
  <c r="M55" i="145"/>
  <c r="M57" i="145"/>
  <c r="O34" i="145"/>
  <c r="L55" i="145"/>
  <c r="L57" i="145"/>
  <c r="O65" i="145"/>
  <c r="O27" i="145"/>
  <c r="N23" i="144"/>
  <c r="O22" i="144"/>
  <c r="O23" i="144"/>
  <c r="L55" i="144"/>
  <c r="L57" i="144"/>
  <c r="O65" i="144"/>
  <c r="D54" i="130"/>
  <c r="D33" i="146"/>
  <c r="N33" i="146"/>
  <c r="O33" i="146"/>
  <c r="D47" i="146"/>
  <c r="N47" i="146"/>
  <c r="O47" i="146"/>
  <c r="D35" i="146"/>
  <c r="D43" i="146"/>
  <c r="N43" i="146"/>
  <c r="O43" i="146"/>
  <c r="O33" i="147"/>
  <c r="D33" i="145"/>
  <c r="N33" i="145"/>
  <c r="D42" i="145"/>
  <c r="N42" i="145"/>
  <c r="O42" i="145"/>
  <c r="D46" i="145"/>
  <c r="N46" i="145"/>
  <c r="O46" i="145"/>
  <c r="D43" i="145"/>
  <c r="N43" i="145"/>
  <c r="O43" i="145"/>
  <c r="D33" i="144"/>
  <c r="N33" i="144"/>
  <c r="D46" i="144"/>
  <c r="N46" i="144"/>
  <c r="O46" i="144"/>
  <c r="D42" i="144"/>
  <c r="N42" i="144"/>
  <c r="O42" i="144"/>
  <c r="D43" i="144"/>
  <c r="N43" i="144"/>
  <c r="O43" i="144"/>
  <c r="D55" i="129"/>
  <c r="D55" i="40"/>
  <c r="N35" i="146"/>
  <c r="O35" i="146"/>
  <c r="O33" i="145"/>
  <c r="O33" i="144"/>
  <c r="G40" i="129"/>
  <c r="G40" i="40"/>
  <c r="G35" i="139"/>
  <c r="G35" i="138"/>
  <c r="G31" i="119"/>
  <c r="G34" i="128"/>
  <c r="G34" i="37"/>
  <c r="G33" i="126"/>
  <c r="G39" i="127"/>
  <c r="D41" i="130"/>
  <c r="D40" i="130"/>
  <c r="D39" i="130"/>
  <c r="L39" i="130"/>
  <c r="D42" i="129"/>
  <c r="D41" i="129"/>
  <c r="D40" i="129"/>
  <c r="D42" i="40"/>
  <c r="D41" i="40"/>
  <c r="D40" i="40"/>
  <c r="D48" i="139"/>
  <c r="D38" i="139"/>
  <c r="D37" i="139"/>
  <c r="D36" i="139"/>
  <c r="D35" i="139"/>
  <c r="D48" i="138"/>
  <c r="D37" i="138"/>
  <c r="D36" i="138"/>
  <c r="D35" i="138"/>
  <c r="C17" i="128"/>
  <c r="C16" i="128"/>
  <c r="D47" i="37"/>
  <c r="D36" i="37"/>
  <c r="D35" i="37"/>
  <c r="D34" i="37"/>
  <c r="D53" i="140"/>
  <c r="D42" i="140"/>
  <c r="D41" i="140"/>
  <c r="D40" i="140"/>
  <c r="D47" i="126"/>
  <c r="D36" i="126"/>
  <c r="D35" i="126"/>
  <c r="D34" i="126"/>
  <c r="D33" i="126"/>
  <c r="C15" i="126"/>
  <c r="D39" i="126"/>
  <c r="N39" i="126"/>
  <c r="D53" i="127"/>
  <c r="D42" i="127"/>
  <c r="D39" i="127"/>
  <c r="D46" i="119"/>
  <c r="D34" i="119"/>
  <c r="D33" i="119"/>
  <c r="D32" i="119"/>
  <c r="D31" i="119"/>
  <c r="D19" i="127"/>
  <c r="D41" i="127"/>
  <c r="D18" i="127"/>
  <c r="D40" i="127"/>
  <c r="D20" i="126"/>
  <c r="O39" i="126"/>
  <c r="L34" i="147"/>
  <c r="L34" i="149"/>
  <c r="L34" i="148"/>
  <c r="D37" i="128"/>
  <c r="D48" i="128"/>
  <c r="D34" i="128"/>
  <c r="O34" i="147"/>
  <c r="L55" i="147"/>
  <c r="L57" i="147"/>
  <c r="O65" i="147"/>
  <c r="O34" i="148"/>
  <c r="L55" i="148"/>
  <c r="L57" i="148"/>
  <c r="O65" i="148"/>
  <c r="O34" i="149"/>
  <c r="L55" i="149"/>
  <c r="L57" i="149"/>
  <c r="O65" i="149"/>
  <c r="D46" i="100"/>
  <c r="D35" i="100"/>
  <c r="D34" i="100"/>
  <c r="D33" i="100"/>
  <c r="G34" i="100"/>
  <c r="G33" i="100"/>
  <c r="D52" i="34"/>
  <c r="D41" i="34"/>
  <c r="D40" i="34"/>
  <c r="D39" i="34"/>
  <c r="G33" i="119"/>
  <c r="G32" i="119"/>
  <c r="D67" i="142"/>
  <c r="P54" i="142"/>
  <c r="I54" i="142"/>
  <c r="J54" i="142"/>
  <c r="N54" i="142"/>
  <c r="O54" i="142"/>
  <c r="P53" i="142"/>
  <c r="I53" i="142"/>
  <c r="J53" i="142"/>
  <c r="P52" i="142"/>
  <c r="I52" i="142"/>
  <c r="J52" i="142"/>
  <c r="P51" i="142"/>
  <c r="I51" i="142"/>
  <c r="J51" i="142"/>
  <c r="P50" i="142"/>
  <c r="I50" i="142"/>
  <c r="J50" i="142"/>
  <c r="P49" i="142"/>
  <c r="I49" i="142"/>
  <c r="N49" i="142"/>
  <c r="O49" i="142"/>
  <c r="P48" i="142"/>
  <c r="I48" i="142"/>
  <c r="J48" i="142"/>
  <c r="P47" i="142"/>
  <c r="I47" i="142"/>
  <c r="N47" i="142"/>
  <c r="O47" i="142"/>
  <c r="P46" i="142"/>
  <c r="I46" i="142"/>
  <c r="J46" i="142"/>
  <c r="P45" i="142"/>
  <c r="I45" i="142"/>
  <c r="J45" i="142"/>
  <c r="P44" i="142"/>
  <c r="I44" i="142"/>
  <c r="J44" i="142"/>
  <c r="P43" i="142"/>
  <c r="I43" i="142"/>
  <c r="J43" i="142"/>
  <c r="P42" i="142"/>
  <c r="H42" i="142"/>
  <c r="J42" i="142"/>
  <c r="P41" i="142"/>
  <c r="H41" i="142"/>
  <c r="J41" i="142"/>
  <c r="P40" i="142"/>
  <c r="P39" i="142"/>
  <c r="I39" i="142"/>
  <c r="J39" i="142"/>
  <c r="P38" i="142"/>
  <c r="I38" i="142"/>
  <c r="J38" i="142"/>
  <c r="P37" i="142"/>
  <c r="I37" i="142"/>
  <c r="J37" i="142"/>
  <c r="P36" i="142"/>
  <c r="I36" i="142"/>
  <c r="J36" i="142"/>
  <c r="P35" i="142"/>
  <c r="I35" i="142"/>
  <c r="J35" i="142"/>
  <c r="P34" i="142"/>
  <c r="I34" i="142"/>
  <c r="J34" i="142"/>
  <c r="J29" i="142"/>
  <c r="J28" i="142"/>
  <c r="N26" i="142"/>
  <c r="O26" i="142"/>
  <c r="J26" i="142"/>
  <c r="C17" i="142"/>
  <c r="C16" i="142"/>
  <c r="D43" i="142"/>
  <c r="N43" i="142"/>
  <c r="O43" i="142"/>
  <c r="C15" i="142"/>
  <c r="C14" i="142"/>
  <c r="AD12" i="142"/>
  <c r="AC12" i="142"/>
  <c r="AB12" i="142"/>
  <c r="AA12" i="142"/>
  <c r="Z12" i="142"/>
  <c r="Y12" i="142"/>
  <c r="X12" i="142"/>
  <c r="W12" i="142"/>
  <c r="V12" i="142"/>
  <c r="U12" i="142"/>
  <c r="T12" i="142"/>
  <c r="S12" i="142"/>
  <c r="D10" i="142"/>
  <c r="B10" i="142"/>
  <c r="C10" i="142"/>
  <c r="C9" i="142"/>
  <c r="C8" i="142"/>
  <c r="A6" i="142"/>
  <c r="A4" i="142"/>
  <c r="D67" i="141"/>
  <c r="P54" i="141"/>
  <c r="I54" i="141"/>
  <c r="J54" i="141"/>
  <c r="N54" i="141"/>
  <c r="O54" i="141"/>
  <c r="P53" i="141"/>
  <c r="I53" i="141"/>
  <c r="J53" i="141"/>
  <c r="P52" i="141"/>
  <c r="I52" i="141"/>
  <c r="J52" i="141"/>
  <c r="P51" i="141"/>
  <c r="I51" i="141"/>
  <c r="J51" i="141"/>
  <c r="P50" i="141"/>
  <c r="I50" i="141"/>
  <c r="J50" i="141"/>
  <c r="P49" i="141"/>
  <c r="I49" i="141"/>
  <c r="N49" i="141"/>
  <c r="O49" i="141"/>
  <c r="P48" i="141"/>
  <c r="I48" i="141"/>
  <c r="J48" i="141"/>
  <c r="P47" i="141"/>
  <c r="I47" i="141"/>
  <c r="N47" i="141"/>
  <c r="O47" i="141"/>
  <c r="P46" i="141"/>
  <c r="I46" i="141"/>
  <c r="J46" i="141"/>
  <c r="P45" i="141"/>
  <c r="I45" i="141"/>
  <c r="J45" i="141"/>
  <c r="P44" i="141"/>
  <c r="I44" i="141"/>
  <c r="J44" i="141"/>
  <c r="P43" i="141"/>
  <c r="I43" i="141"/>
  <c r="J43" i="141"/>
  <c r="P42" i="141"/>
  <c r="H42" i="141"/>
  <c r="J42" i="141"/>
  <c r="P41" i="141"/>
  <c r="H41" i="141"/>
  <c r="J41" i="141"/>
  <c r="P40" i="141"/>
  <c r="P39" i="141"/>
  <c r="I39" i="141"/>
  <c r="J39" i="141"/>
  <c r="P38" i="141"/>
  <c r="I38" i="141"/>
  <c r="J38" i="141"/>
  <c r="P37" i="141"/>
  <c r="I37" i="141"/>
  <c r="J37" i="141"/>
  <c r="P36" i="141"/>
  <c r="I36" i="141"/>
  <c r="J36" i="141"/>
  <c r="P35" i="141"/>
  <c r="I35" i="141"/>
  <c r="J35" i="141"/>
  <c r="P34" i="141"/>
  <c r="I34" i="141"/>
  <c r="J34" i="141"/>
  <c r="J29" i="141"/>
  <c r="J28" i="141"/>
  <c r="N26" i="141"/>
  <c r="O26" i="141"/>
  <c r="J26" i="141"/>
  <c r="C17" i="141"/>
  <c r="C16" i="141"/>
  <c r="D43" i="141"/>
  <c r="N43" i="141"/>
  <c r="O43" i="141"/>
  <c r="C15" i="141"/>
  <c r="C14" i="141"/>
  <c r="AD12" i="141"/>
  <c r="AC12" i="141"/>
  <c r="AB12" i="141"/>
  <c r="AA12" i="141"/>
  <c r="Z12" i="141"/>
  <c r="Y12" i="141"/>
  <c r="X12" i="141"/>
  <c r="W12" i="141"/>
  <c r="V12" i="141"/>
  <c r="U12" i="141"/>
  <c r="T12" i="141"/>
  <c r="S12" i="141"/>
  <c r="D10" i="141"/>
  <c r="B10" i="141"/>
  <c r="C10" i="141"/>
  <c r="C9" i="141"/>
  <c r="C8" i="141"/>
  <c r="A6" i="141"/>
  <c r="A4" i="141"/>
  <c r="C17" i="129"/>
  <c r="C17" i="40"/>
  <c r="J47" i="142"/>
  <c r="I15" i="142"/>
  <c r="J49" i="142"/>
  <c r="D51" i="142"/>
  <c r="N51" i="142"/>
  <c r="O51" i="142"/>
  <c r="D37" i="142"/>
  <c r="N37" i="142"/>
  <c r="O37" i="142"/>
  <c r="D50" i="142"/>
  <c r="N50" i="142"/>
  <c r="O50" i="142"/>
  <c r="D52" i="142"/>
  <c r="N52" i="142"/>
  <c r="O52" i="142"/>
  <c r="D40" i="142"/>
  <c r="D34" i="142"/>
  <c r="D35" i="142"/>
  <c r="D36" i="142"/>
  <c r="N36" i="142"/>
  <c r="O36" i="142"/>
  <c r="D41" i="142"/>
  <c r="M41" i="142"/>
  <c r="J47" i="141"/>
  <c r="J49" i="141"/>
  <c r="D51" i="141"/>
  <c r="N51" i="141"/>
  <c r="O51" i="141"/>
  <c r="I15" i="141"/>
  <c r="D50" i="141"/>
  <c r="N50" i="141"/>
  <c r="O50" i="141"/>
  <c r="D52" i="141"/>
  <c r="N52" i="141"/>
  <c r="O52" i="141"/>
  <c r="D37" i="141"/>
  <c r="N37" i="141"/>
  <c r="O37" i="141"/>
  <c r="D40" i="141"/>
  <c r="D34" i="141"/>
  <c r="D35" i="141"/>
  <c r="D36" i="141"/>
  <c r="N36" i="141"/>
  <c r="O36" i="141"/>
  <c r="D41" i="141"/>
  <c r="M41" i="141"/>
  <c r="D38" i="142"/>
  <c r="N38" i="142"/>
  <c r="O38" i="142"/>
  <c r="O41" i="142"/>
  <c r="L56" i="142"/>
  <c r="L58" i="142"/>
  <c r="O65" i="142"/>
  <c r="N34" i="142"/>
  <c r="N35" i="142"/>
  <c r="O35" i="142"/>
  <c r="O41" i="141"/>
  <c r="N34" i="141"/>
  <c r="L56" i="141"/>
  <c r="L58" i="141"/>
  <c r="O65" i="141"/>
  <c r="D38" i="141"/>
  <c r="N38" i="141"/>
  <c r="O38" i="141"/>
  <c r="N35" i="141"/>
  <c r="O35" i="141"/>
  <c r="J27" i="140"/>
  <c r="D18" i="140"/>
  <c r="D27" i="140"/>
  <c r="N27" i="140"/>
  <c r="P57" i="140"/>
  <c r="I57" i="140"/>
  <c r="J57" i="140"/>
  <c r="N57" i="140"/>
  <c r="O57" i="140"/>
  <c r="P56" i="140"/>
  <c r="I56" i="140"/>
  <c r="J56" i="140"/>
  <c r="P55" i="140"/>
  <c r="I55" i="140"/>
  <c r="J55" i="140"/>
  <c r="N55" i="140"/>
  <c r="O55" i="140"/>
  <c r="P54" i="140"/>
  <c r="I54" i="140"/>
  <c r="J54" i="140"/>
  <c r="P53" i="140"/>
  <c r="G53" i="140"/>
  <c r="J53" i="140"/>
  <c r="P52" i="140"/>
  <c r="I52" i="140"/>
  <c r="J52" i="140"/>
  <c r="P51" i="140"/>
  <c r="I51" i="140"/>
  <c r="J51" i="140"/>
  <c r="P50" i="140"/>
  <c r="J50" i="140"/>
  <c r="P49" i="140"/>
  <c r="I49" i="140"/>
  <c r="J49" i="140"/>
  <c r="P48" i="140"/>
  <c r="I48" i="140"/>
  <c r="J48" i="140"/>
  <c r="P47" i="140"/>
  <c r="I47" i="140"/>
  <c r="J47" i="140"/>
  <c r="P46" i="140"/>
  <c r="I46" i="140"/>
  <c r="J46" i="140"/>
  <c r="P44" i="140"/>
  <c r="H44" i="140"/>
  <c r="J44" i="140"/>
  <c r="P43" i="140"/>
  <c r="P42" i="140"/>
  <c r="G42" i="140"/>
  <c r="J42" i="140"/>
  <c r="P41" i="140"/>
  <c r="G41" i="140"/>
  <c r="J41" i="140"/>
  <c r="P40" i="140"/>
  <c r="G40" i="140"/>
  <c r="J40" i="140"/>
  <c r="P39" i="140"/>
  <c r="I39" i="140"/>
  <c r="J39" i="140"/>
  <c r="P38" i="140"/>
  <c r="I38" i="140"/>
  <c r="J38" i="140"/>
  <c r="P37" i="140"/>
  <c r="I37" i="140"/>
  <c r="J37" i="140"/>
  <c r="P36" i="140"/>
  <c r="I36" i="140"/>
  <c r="J36" i="140"/>
  <c r="P35" i="140"/>
  <c r="I35" i="140"/>
  <c r="J35" i="140"/>
  <c r="P34" i="140"/>
  <c r="I34" i="140"/>
  <c r="J34" i="140"/>
  <c r="P33" i="140"/>
  <c r="I33" i="140"/>
  <c r="J33" i="140"/>
  <c r="P32" i="140"/>
  <c r="I32" i="140"/>
  <c r="J32" i="140"/>
  <c r="J26" i="140"/>
  <c r="N25" i="140"/>
  <c r="O25" i="140"/>
  <c r="J25" i="140"/>
  <c r="D17" i="140"/>
  <c r="D45" i="140"/>
  <c r="N45" i="140"/>
  <c r="D11" i="140"/>
  <c r="B11" i="140"/>
  <c r="C11" i="140"/>
  <c r="C10" i="140"/>
  <c r="C9" i="140"/>
  <c r="A6" i="140"/>
  <c r="A4" i="140"/>
  <c r="D38" i="140"/>
  <c r="N38" i="140"/>
  <c r="O38" i="140"/>
  <c r="O45" i="140"/>
  <c r="N49" i="140"/>
  <c r="O49" i="140"/>
  <c r="O34" i="142"/>
  <c r="O34" i="141"/>
  <c r="O27" i="140"/>
  <c r="D34" i="140"/>
  <c r="N34" i="140"/>
  <c r="O34" i="140"/>
  <c r="L42" i="140"/>
  <c r="O42" i="140"/>
  <c r="L53" i="140"/>
  <c r="O53" i="140"/>
  <c r="D56" i="140"/>
  <c r="N56" i="140"/>
  <c r="O56" i="140"/>
  <c r="D32" i="140"/>
  <c r="N32" i="140"/>
  <c r="O32" i="140"/>
  <c r="D36" i="140"/>
  <c r="N36" i="140"/>
  <c r="O36" i="140"/>
  <c r="L40" i="140"/>
  <c r="O40" i="140"/>
  <c r="N52" i="140"/>
  <c r="O52" i="140"/>
  <c r="D46" i="140"/>
  <c r="N46" i="140"/>
  <c r="O46" i="140"/>
  <c r="D50" i="140"/>
  <c r="O50" i="140"/>
  <c r="O64" i="140"/>
  <c r="D26" i="140"/>
  <c r="N26" i="140"/>
  <c r="O26" i="140"/>
  <c r="D33" i="140"/>
  <c r="N33" i="140"/>
  <c r="O33" i="140"/>
  <c r="D35" i="140"/>
  <c r="N35" i="140"/>
  <c r="O35" i="140"/>
  <c r="L41" i="140"/>
  <c r="O41" i="140"/>
  <c r="D54" i="140"/>
  <c r="N54" i="140"/>
  <c r="O54" i="140"/>
  <c r="D44" i="140"/>
  <c r="M44" i="140"/>
  <c r="J24" i="139"/>
  <c r="P39" i="139"/>
  <c r="H39" i="139"/>
  <c r="J39" i="139"/>
  <c r="D66" i="139"/>
  <c r="P53" i="139"/>
  <c r="I53" i="139"/>
  <c r="J53" i="139"/>
  <c r="N53" i="139"/>
  <c r="O53" i="139"/>
  <c r="P52" i="139"/>
  <c r="I52" i="139"/>
  <c r="J52" i="139"/>
  <c r="P51" i="139"/>
  <c r="I51" i="139"/>
  <c r="J51" i="139"/>
  <c r="P50" i="139"/>
  <c r="I50" i="139"/>
  <c r="J50" i="139"/>
  <c r="P49" i="139"/>
  <c r="I49" i="139"/>
  <c r="J49" i="139"/>
  <c r="P48" i="139"/>
  <c r="G48" i="139"/>
  <c r="J48" i="139"/>
  <c r="P47" i="139"/>
  <c r="I47" i="139"/>
  <c r="J47" i="139"/>
  <c r="P46" i="139"/>
  <c r="I46" i="139"/>
  <c r="J46" i="139"/>
  <c r="P45" i="139"/>
  <c r="J45" i="139"/>
  <c r="P44" i="139"/>
  <c r="J44" i="139"/>
  <c r="P43" i="139"/>
  <c r="I43" i="139"/>
  <c r="N43" i="139"/>
  <c r="O43" i="139"/>
  <c r="P42" i="139"/>
  <c r="I42" i="139"/>
  <c r="J42" i="139"/>
  <c r="P41" i="139"/>
  <c r="I41" i="139"/>
  <c r="J41" i="139"/>
  <c r="P40" i="139"/>
  <c r="I40" i="139"/>
  <c r="J40" i="139"/>
  <c r="P38" i="139"/>
  <c r="P37" i="139"/>
  <c r="G37" i="139"/>
  <c r="J37" i="139"/>
  <c r="P36" i="139"/>
  <c r="G36" i="139"/>
  <c r="J36" i="139"/>
  <c r="P35" i="139"/>
  <c r="P34" i="139"/>
  <c r="I34" i="139"/>
  <c r="J34" i="139"/>
  <c r="P33" i="139"/>
  <c r="I33" i="139"/>
  <c r="J33" i="139"/>
  <c r="P32" i="139"/>
  <c r="I32" i="139"/>
  <c r="J32" i="139"/>
  <c r="P31" i="139"/>
  <c r="I31" i="139"/>
  <c r="J31" i="139"/>
  <c r="P30" i="139"/>
  <c r="I30" i="139"/>
  <c r="J30" i="139"/>
  <c r="P29" i="139"/>
  <c r="I29" i="139"/>
  <c r="J29" i="139"/>
  <c r="N23" i="139"/>
  <c r="O23" i="139"/>
  <c r="J23" i="139"/>
  <c r="C16" i="139"/>
  <c r="D40" i="139"/>
  <c r="N40" i="139"/>
  <c r="O40" i="139"/>
  <c r="C15" i="139"/>
  <c r="C14" i="139"/>
  <c r="AD12" i="139"/>
  <c r="AC12" i="139"/>
  <c r="AB12" i="139"/>
  <c r="AA12" i="139"/>
  <c r="Z12" i="139"/>
  <c r="Y12" i="139"/>
  <c r="X12" i="139"/>
  <c r="W12" i="139"/>
  <c r="V12" i="139"/>
  <c r="U12" i="139"/>
  <c r="T12" i="139"/>
  <c r="S12" i="139"/>
  <c r="D10" i="139"/>
  <c r="B10" i="139"/>
  <c r="J35" i="139"/>
  <c r="C9" i="139"/>
  <c r="C8" i="139"/>
  <c r="A6" i="139"/>
  <c r="A4" i="139"/>
  <c r="P39" i="138"/>
  <c r="H39" i="138"/>
  <c r="J39" i="138"/>
  <c r="N23" i="138"/>
  <c r="O23" i="138"/>
  <c r="J24" i="138"/>
  <c r="D66" i="138"/>
  <c r="P53" i="138"/>
  <c r="I53" i="138"/>
  <c r="J53" i="138"/>
  <c r="N53" i="138"/>
  <c r="O53" i="138"/>
  <c r="P52" i="138"/>
  <c r="I52" i="138"/>
  <c r="J52" i="138"/>
  <c r="P51" i="138"/>
  <c r="I51" i="138"/>
  <c r="J51" i="138"/>
  <c r="P50" i="138"/>
  <c r="I50" i="138"/>
  <c r="J50" i="138"/>
  <c r="P49" i="138"/>
  <c r="I49" i="138"/>
  <c r="J49" i="138"/>
  <c r="P48" i="138"/>
  <c r="G48" i="138"/>
  <c r="J48" i="138"/>
  <c r="P47" i="138"/>
  <c r="I47" i="138"/>
  <c r="N47" i="138"/>
  <c r="O47" i="138"/>
  <c r="P46" i="138"/>
  <c r="I46" i="138"/>
  <c r="J46" i="138"/>
  <c r="P45" i="138"/>
  <c r="J45" i="138"/>
  <c r="P44" i="138"/>
  <c r="J44" i="138"/>
  <c r="P43" i="138"/>
  <c r="I43" i="138"/>
  <c r="N43" i="138"/>
  <c r="O43" i="138"/>
  <c r="P42" i="138"/>
  <c r="I42" i="138"/>
  <c r="J42" i="138"/>
  <c r="P41" i="138"/>
  <c r="I41" i="138"/>
  <c r="J41" i="138"/>
  <c r="P40" i="138"/>
  <c r="I40" i="138"/>
  <c r="J40" i="138"/>
  <c r="P38" i="138"/>
  <c r="P37" i="138"/>
  <c r="G37" i="138"/>
  <c r="J37" i="138"/>
  <c r="P36" i="138"/>
  <c r="G36" i="138"/>
  <c r="J36" i="138"/>
  <c r="P35" i="138"/>
  <c r="P34" i="138"/>
  <c r="I34" i="138"/>
  <c r="J34" i="138"/>
  <c r="P33" i="138"/>
  <c r="I33" i="138"/>
  <c r="J33" i="138"/>
  <c r="P32" i="138"/>
  <c r="I32" i="138"/>
  <c r="J32" i="138"/>
  <c r="P31" i="138"/>
  <c r="I31" i="138"/>
  <c r="J31" i="138"/>
  <c r="P30" i="138"/>
  <c r="I30" i="138"/>
  <c r="J30" i="138"/>
  <c r="P29" i="138"/>
  <c r="I29" i="138"/>
  <c r="J29" i="138"/>
  <c r="J23" i="138"/>
  <c r="C16" i="138"/>
  <c r="D40" i="138"/>
  <c r="N40" i="138"/>
  <c r="O40" i="138"/>
  <c r="C15" i="138"/>
  <c r="C14" i="138"/>
  <c r="AD12" i="138"/>
  <c r="AC12" i="138"/>
  <c r="AB12" i="138"/>
  <c r="AA12" i="138"/>
  <c r="Z12" i="138"/>
  <c r="Y12" i="138"/>
  <c r="X12" i="138"/>
  <c r="W12" i="138"/>
  <c r="V12" i="138"/>
  <c r="U12" i="138"/>
  <c r="T12" i="138"/>
  <c r="S12" i="138"/>
  <c r="D10" i="138"/>
  <c r="B10" i="138"/>
  <c r="C10" i="138"/>
  <c r="C9" i="138"/>
  <c r="C8" i="138"/>
  <c r="A6" i="138"/>
  <c r="A4" i="138"/>
  <c r="C16" i="136"/>
  <c r="C15" i="133"/>
  <c r="C14" i="132"/>
  <c r="D35" i="132"/>
  <c r="N35" i="132"/>
  <c r="O35" i="132"/>
  <c r="D17" i="131"/>
  <c r="C16" i="130"/>
  <c r="C16" i="129"/>
  <c r="C16" i="40"/>
  <c r="D46" i="40"/>
  <c r="C15" i="119"/>
  <c r="C15" i="128"/>
  <c r="C15" i="37"/>
  <c r="D22" i="37"/>
  <c r="D17" i="127"/>
  <c r="C14" i="100"/>
  <c r="D17" i="34"/>
  <c r="D44" i="34"/>
  <c r="N44" i="34"/>
  <c r="O44" i="34"/>
  <c r="D38" i="100"/>
  <c r="D45" i="127"/>
  <c r="D40" i="131"/>
  <c r="D41" i="131"/>
  <c r="N41" i="131"/>
  <c r="O41" i="131"/>
  <c r="D25" i="119"/>
  <c r="D20" i="119"/>
  <c r="N20" i="119"/>
  <c r="O20" i="119"/>
  <c r="D26" i="127"/>
  <c r="D37" i="127"/>
  <c r="D25" i="126"/>
  <c r="D22" i="128"/>
  <c r="D52" i="128"/>
  <c r="N28" i="140"/>
  <c r="O28" i="140"/>
  <c r="O44" i="140"/>
  <c r="M59" i="140"/>
  <c r="M61" i="140"/>
  <c r="L59" i="140"/>
  <c r="L61" i="140"/>
  <c r="O69" i="140"/>
  <c r="C10" i="139"/>
  <c r="N47" i="139"/>
  <c r="O47" i="139"/>
  <c r="D32" i="139"/>
  <c r="N32" i="139"/>
  <c r="O32" i="139"/>
  <c r="J43" i="139"/>
  <c r="D49" i="139"/>
  <c r="N49" i="139"/>
  <c r="O49" i="139"/>
  <c r="D51" i="139"/>
  <c r="N51" i="139"/>
  <c r="O51" i="139"/>
  <c r="L36" i="139"/>
  <c r="O36" i="139"/>
  <c r="L48" i="139"/>
  <c r="O48" i="139"/>
  <c r="D50" i="139"/>
  <c r="N50" i="139"/>
  <c r="O50" i="139"/>
  <c r="I15" i="139"/>
  <c r="D29" i="139"/>
  <c r="D30" i="139"/>
  <c r="D31" i="139"/>
  <c r="N31" i="139"/>
  <c r="O31" i="139"/>
  <c r="L35" i="139"/>
  <c r="L37" i="139"/>
  <c r="O37" i="139"/>
  <c r="D39" i="139"/>
  <c r="M39" i="139"/>
  <c r="J35" i="138"/>
  <c r="D50" i="138"/>
  <c r="N50" i="138"/>
  <c r="O50" i="138"/>
  <c r="J47" i="138"/>
  <c r="J43" i="138"/>
  <c r="L48" i="138"/>
  <c r="O48" i="138"/>
  <c r="D32" i="138"/>
  <c r="N32" i="138"/>
  <c r="O32" i="138"/>
  <c r="L36" i="138"/>
  <c r="O36" i="138"/>
  <c r="D38" i="138"/>
  <c r="I15" i="138"/>
  <c r="D49" i="138"/>
  <c r="N49" i="138"/>
  <c r="O49" i="138"/>
  <c r="D51" i="138"/>
  <c r="N51" i="138"/>
  <c r="O51" i="138"/>
  <c r="D29" i="138"/>
  <c r="D30" i="138"/>
  <c r="D31" i="138"/>
  <c r="N31" i="138"/>
  <c r="O31" i="138"/>
  <c r="L37" i="138"/>
  <c r="O37" i="138"/>
  <c r="D39" i="138"/>
  <c r="M39" i="138"/>
  <c r="D66" i="136"/>
  <c r="P53" i="136"/>
  <c r="I53" i="136"/>
  <c r="J53" i="136"/>
  <c r="N53" i="136"/>
  <c r="O53" i="136"/>
  <c r="P52" i="136"/>
  <c r="I52" i="136"/>
  <c r="J52" i="136"/>
  <c r="P51" i="136"/>
  <c r="I51" i="136"/>
  <c r="J51" i="136"/>
  <c r="P50" i="136"/>
  <c r="I50" i="136"/>
  <c r="J50" i="136"/>
  <c r="P49" i="136"/>
  <c r="I49" i="136"/>
  <c r="J49" i="136"/>
  <c r="P48" i="136"/>
  <c r="I48" i="136"/>
  <c r="J48" i="136"/>
  <c r="P47" i="136"/>
  <c r="I47" i="136"/>
  <c r="J47" i="136"/>
  <c r="P46" i="136"/>
  <c r="I46" i="136"/>
  <c r="N46" i="136"/>
  <c r="O46" i="136"/>
  <c r="P45" i="136"/>
  <c r="I45" i="136"/>
  <c r="J45" i="136"/>
  <c r="P44" i="136"/>
  <c r="I44" i="136"/>
  <c r="J44" i="136"/>
  <c r="I43" i="136"/>
  <c r="J43" i="136"/>
  <c r="P42" i="136"/>
  <c r="I42" i="136"/>
  <c r="J42" i="136"/>
  <c r="P41" i="136"/>
  <c r="H41" i="136"/>
  <c r="J41" i="136"/>
  <c r="P40" i="136"/>
  <c r="H40" i="136"/>
  <c r="J40" i="136"/>
  <c r="P39" i="136"/>
  <c r="P38" i="136"/>
  <c r="I38" i="136"/>
  <c r="J38" i="136"/>
  <c r="P37" i="136"/>
  <c r="I37" i="136"/>
  <c r="J37" i="136"/>
  <c r="P36" i="136"/>
  <c r="I36" i="136"/>
  <c r="J36" i="136"/>
  <c r="P35" i="136"/>
  <c r="I35" i="136"/>
  <c r="J35" i="136"/>
  <c r="P34" i="136"/>
  <c r="I34" i="136"/>
  <c r="J34" i="136"/>
  <c r="P33" i="136"/>
  <c r="I33" i="136"/>
  <c r="J33" i="136"/>
  <c r="J28" i="136"/>
  <c r="J27" i="136"/>
  <c r="C17" i="136"/>
  <c r="D50" i="136"/>
  <c r="C15" i="136"/>
  <c r="C14" i="136"/>
  <c r="AD12" i="136"/>
  <c r="AC12" i="136"/>
  <c r="AB12" i="136"/>
  <c r="AA12" i="136"/>
  <c r="Z12" i="136"/>
  <c r="Y12" i="136"/>
  <c r="X12" i="136"/>
  <c r="W12" i="136"/>
  <c r="V12" i="136"/>
  <c r="U12" i="136"/>
  <c r="T12" i="136"/>
  <c r="S12" i="136"/>
  <c r="D10" i="136"/>
  <c r="B10" i="136"/>
  <c r="C10" i="136"/>
  <c r="C9" i="136"/>
  <c r="C8" i="136"/>
  <c r="A6" i="136"/>
  <c r="A4" i="136"/>
  <c r="L50" i="133"/>
  <c r="P48" i="133"/>
  <c r="I48" i="133"/>
  <c r="J48" i="133"/>
  <c r="N48" i="133"/>
  <c r="O48" i="133"/>
  <c r="P47" i="133"/>
  <c r="I47" i="133"/>
  <c r="J47" i="133"/>
  <c r="P46" i="133"/>
  <c r="I46" i="133"/>
  <c r="J46" i="133"/>
  <c r="P45" i="133"/>
  <c r="I45" i="133"/>
  <c r="J45" i="133"/>
  <c r="P44" i="133"/>
  <c r="I44" i="133"/>
  <c r="J44" i="133"/>
  <c r="P43" i="133"/>
  <c r="I43" i="133"/>
  <c r="J43" i="133"/>
  <c r="P42" i="133"/>
  <c r="I42" i="133"/>
  <c r="J42" i="133"/>
  <c r="P41" i="133"/>
  <c r="I41" i="133"/>
  <c r="J41" i="133"/>
  <c r="P40" i="133"/>
  <c r="I40" i="133"/>
  <c r="J40" i="133"/>
  <c r="P39" i="133"/>
  <c r="I39" i="133"/>
  <c r="J39" i="133"/>
  <c r="P38" i="133"/>
  <c r="I38" i="133"/>
  <c r="J38" i="133"/>
  <c r="N38" i="133"/>
  <c r="O38" i="133"/>
  <c r="P37" i="133"/>
  <c r="I37" i="133"/>
  <c r="J37" i="133"/>
  <c r="P36" i="133"/>
  <c r="H36" i="133"/>
  <c r="J36" i="133"/>
  <c r="P35" i="133"/>
  <c r="P34" i="133"/>
  <c r="I34" i="133"/>
  <c r="J34" i="133"/>
  <c r="P33" i="133"/>
  <c r="I33" i="133"/>
  <c r="J33" i="133"/>
  <c r="P32" i="133"/>
  <c r="I32" i="133"/>
  <c r="J32" i="133"/>
  <c r="P31" i="133"/>
  <c r="I31" i="133"/>
  <c r="J31" i="133"/>
  <c r="P30" i="133"/>
  <c r="I30" i="133"/>
  <c r="J30" i="133"/>
  <c r="P29" i="133"/>
  <c r="I29" i="133"/>
  <c r="J29" i="133"/>
  <c r="P28" i="133"/>
  <c r="I28" i="133"/>
  <c r="J28" i="133"/>
  <c r="J23" i="133"/>
  <c r="J22" i="133"/>
  <c r="N21" i="133"/>
  <c r="J21" i="133"/>
  <c r="D37" i="133"/>
  <c r="N37" i="133"/>
  <c r="O37" i="133"/>
  <c r="AD13" i="133"/>
  <c r="AC13" i="133"/>
  <c r="AB13" i="133"/>
  <c r="AA13" i="133"/>
  <c r="Z13" i="133"/>
  <c r="Y13" i="133"/>
  <c r="X13" i="133"/>
  <c r="W13" i="133"/>
  <c r="V13" i="133"/>
  <c r="U13" i="133"/>
  <c r="T13" i="133"/>
  <c r="S13" i="133"/>
  <c r="D11" i="133"/>
  <c r="B11" i="133"/>
  <c r="C10" i="133"/>
  <c r="C9" i="133"/>
  <c r="A6" i="133"/>
  <c r="A4" i="133"/>
  <c r="P45" i="132"/>
  <c r="I45" i="132"/>
  <c r="J45" i="132"/>
  <c r="N45" i="132"/>
  <c r="O45" i="132"/>
  <c r="P44" i="132"/>
  <c r="I44" i="132"/>
  <c r="J44" i="132"/>
  <c r="P43" i="132"/>
  <c r="I43" i="132"/>
  <c r="J43" i="132"/>
  <c r="N43" i="132"/>
  <c r="O43" i="132"/>
  <c r="P42" i="132"/>
  <c r="I42" i="132"/>
  <c r="J42" i="132"/>
  <c r="P41" i="132"/>
  <c r="I41" i="132"/>
  <c r="J41" i="132"/>
  <c r="P40" i="132"/>
  <c r="I40" i="132"/>
  <c r="J40" i="132"/>
  <c r="P39" i="132"/>
  <c r="I39" i="132"/>
  <c r="J39" i="132"/>
  <c r="P38" i="132"/>
  <c r="I38" i="132"/>
  <c r="J38" i="132"/>
  <c r="P37" i="132"/>
  <c r="I37" i="132"/>
  <c r="J37" i="132"/>
  <c r="P36" i="132"/>
  <c r="I36" i="132"/>
  <c r="J36" i="132"/>
  <c r="P34" i="132"/>
  <c r="H34" i="132"/>
  <c r="J34" i="132"/>
  <c r="P33" i="132"/>
  <c r="P32" i="132"/>
  <c r="I32" i="132"/>
  <c r="J32" i="132"/>
  <c r="P31" i="132"/>
  <c r="I31" i="132"/>
  <c r="J31" i="132"/>
  <c r="P30" i="132"/>
  <c r="I30" i="132"/>
  <c r="J30" i="132"/>
  <c r="P29" i="132"/>
  <c r="I29" i="132"/>
  <c r="J29" i="132"/>
  <c r="P28" i="132"/>
  <c r="I28" i="132"/>
  <c r="J28" i="132"/>
  <c r="P27" i="132"/>
  <c r="I27" i="132"/>
  <c r="J27" i="132"/>
  <c r="P26" i="132"/>
  <c r="I26" i="132"/>
  <c r="J26" i="132"/>
  <c r="P25" i="132"/>
  <c r="I25" i="132"/>
  <c r="J25" i="132"/>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c r="D29" i="132"/>
  <c r="D10" i="132"/>
  <c r="B10" i="132"/>
  <c r="C10" i="132"/>
  <c r="C9" i="132"/>
  <c r="C8" i="132"/>
  <c r="A5" i="132"/>
  <c r="P51" i="131"/>
  <c r="I51" i="131"/>
  <c r="J51" i="131"/>
  <c r="N51" i="131"/>
  <c r="O51" i="131"/>
  <c r="P50" i="131"/>
  <c r="I50" i="131"/>
  <c r="J50" i="131"/>
  <c r="P49" i="131"/>
  <c r="I49" i="131"/>
  <c r="J49" i="131"/>
  <c r="N49" i="131"/>
  <c r="O49" i="131"/>
  <c r="P48" i="131"/>
  <c r="I48" i="131"/>
  <c r="J48" i="131"/>
  <c r="P47" i="131"/>
  <c r="I47" i="131"/>
  <c r="N47" i="131"/>
  <c r="O47" i="131"/>
  <c r="P46" i="131"/>
  <c r="I46" i="131"/>
  <c r="J46" i="131"/>
  <c r="P45" i="131"/>
  <c r="I45" i="131"/>
  <c r="N45" i="131"/>
  <c r="O45" i="131"/>
  <c r="P44" i="131"/>
  <c r="I44" i="131"/>
  <c r="J44" i="131"/>
  <c r="P43" i="131"/>
  <c r="I43" i="131"/>
  <c r="J43" i="131"/>
  <c r="P42" i="131"/>
  <c r="I42" i="131"/>
  <c r="J42" i="131"/>
  <c r="P40" i="131"/>
  <c r="H40" i="131"/>
  <c r="J40" i="131"/>
  <c r="P39" i="131"/>
  <c r="P38" i="131"/>
  <c r="I38" i="131"/>
  <c r="J38" i="131"/>
  <c r="P37" i="131"/>
  <c r="I37" i="131"/>
  <c r="J37" i="131"/>
  <c r="P36" i="131"/>
  <c r="I36" i="131"/>
  <c r="J36" i="131"/>
  <c r="P35" i="131"/>
  <c r="I35" i="131"/>
  <c r="J35" i="131"/>
  <c r="P34" i="131"/>
  <c r="I34" i="131"/>
  <c r="J34" i="131"/>
  <c r="P33" i="131"/>
  <c r="I33" i="131"/>
  <c r="J33" i="131"/>
  <c r="P32" i="131"/>
  <c r="I32" i="131"/>
  <c r="J32" i="131"/>
  <c r="P31" i="131"/>
  <c r="I31" i="131"/>
  <c r="J31" i="131"/>
  <c r="J26" i="131"/>
  <c r="N25" i="131"/>
  <c r="J25" i="131"/>
  <c r="D11" i="131"/>
  <c r="B11" i="131"/>
  <c r="C11" i="131"/>
  <c r="C10" i="131"/>
  <c r="C9" i="131"/>
  <c r="A6" i="131"/>
  <c r="A4" i="131"/>
  <c r="P54" i="130"/>
  <c r="G54" i="130"/>
  <c r="J54" i="130"/>
  <c r="P44" i="130"/>
  <c r="H44" i="130"/>
  <c r="J44" i="130"/>
  <c r="P43" i="130"/>
  <c r="H43" i="130"/>
  <c r="J43" i="130"/>
  <c r="P40" i="130"/>
  <c r="G40" i="130"/>
  <c r="J40" i="130"/>
  <c r="X12" i="130"/>
  <c r="Y12" i="130"/>
  <c r="Z12" i="130"/>
  <c r="AA12" i="130"/>
  <c r="W12" i="130"/>
  <c r="AC12" i="130"/>
  <c r="AD12" i="130"/>
  <c r="AB12" i="130"/>
  <c r="T12" i="130"/>
  <c r="U12" i="130"/>
  <c r="V12" i="130"/>
  <c r="S12" i="130"/>
  <c r="D72" i="130"/>
  <c r="P59" i="130"/>
  <c r="I59" i="130"/>
  <c r="J59" i="130"/>
  <c r="N59" i="130"/>
  <c r="O59" i="130"/>
  <c r="P58" i="130"/>
  <c r="I58" i="130"/>
  <c r="J58" i="130"/>
  <c r="P57" i="130"/>
  <c r="I57" i="130"/>
  <c r="J57" i="130"/>
  <c r="P56" i="130"/>
  <c r="I56" i="130"/>
  <c r="J56" i="130"/>
  <c r="P55" i="130"/>
  <c r="I55" i="130"/>
  <c r="J55" i="130"/>
  <c r="P53" i="130"/>
  <c r="I53" i="130"/>
  <c r="J53" i="130"/>
  <c r="P52" i="130"/>
  <c r="I52" i="130"/>
  <c r="J52" i="130"/>
  <c r="P51" i="130"/>
  <c r="J51" i="130"/>
  <c r="P50" i="130"/>
  <c r="J50" i="130"/>
  <c r="P49" i="130"/>
  <c r="I49" i="130"/>
  <c r="P48" i="130"/>
  <c r="I48" i="130"/>
  <c r="J48" i="130"/>
  <c r="P47" i="130"/>
  <c r="I47" i="130"/>
  <c r="J47" i="130"/>
  <c r="I46" i="130"/>
  <c r="J46" i="130"/>
  <c r="P45" i="130"/>
  <c r="I45" i="130"/>
  <c r="J45" i="130"/>
  <c r="P42" i="130"/>
  <c r="P41" i="130"/>
  <c r="G41" i="130"/>
  <c r="J41" i="130"/>
  <c r="P39" i="130"/>
  <c r="P38" i="130"/>
  <c r="I38" i="130"/>
  <c r="J38" i="130"/>
  <c r="P37" i="130"/>
  <c r="I37" i="130"/>
  <c r="J37" i="130"/>
  <c r="P36" i="130"/>
  <c r="I36" i="130"/>
  <c r="J36" i="130"/>
  <c r="P35" i="130"/>
  <c r="I35" i="130"/>
  <c r="J35" i="130"/>
  <c r="P34" i="130"/>
  <c r="I34" i="130"/>
  <c r="J34" i="130"/>
  <c r="P33" i="130"/>
  <c r="I33" i="130"/>
  <c r="J33" i="130"/>
  <c r="J28" i="130"/>
  <c r="J27" i="130"/>
  <c r="C17" i="130"/>
  <c r="D45" i="130"/>
  <c r="N45" i="130"/>
  <c r="O45" i="130"/>
  <c r="C15" i="130"/>
  <c r="C14" i="130"/>
  <c r="D10" i="130"/>
  <c r="B10" i="130"/>
  <c r="C9" i="130"/>
  <c r="C8" i="130"/>
  <c r="A6" i="130"/>
  <c r="A4" i="130"/>
  <c r="Y12" i="129"/>
  <c r="Z12" i="129"/>
  <c r="AA12" i="129"/>
  <c r="X12" i="129"/>
  <c r="AD12" i="129"/>
  <c r="AC12" i="129"/>
  <c r="AB12" i="129"/>
  <c r="T12" i="129"/>
  <c r="U12" i="129"/>
  <c r="V12" i="129"/>
  <c r="W12" i="129"/>
  <c r="S12" i="129"/>
  <c r="P41" i="129"/>
  <c r="G41" i="129"/>
  <c r="J41" i="129"/>
  <c r="P55" i="129"/>
  <c r="G55" i="129"/>
  <c r="J55" i="129"/>
  <c r="I59" i="129"/>
  <c r="J59" i="129"/>
  <c r="H45" i="129"/>
  <c r="J45" i="129"/>
  <c r="H44" i="129"/>
  <c r="J44" i="129"/>
  <c r="D73" i="129"/>
  <c r="P60" i="129"/>
  <c r="I60" i="129"/>
  <c r="J60" i="129"/>
  <c r="N60" i="129"/>
  <c r="O60" i="129"/>
  <c r="P59" i="129"/>
  <c r="P58" i="129"/>
  <c r="I58" i="129"/>
  <c r="J58" i="129"/>
  <c r="P57" i="129"/>
  <c r="I57" i="129"/>
  <c r="J57" i="129"/>
  <c r="P56" i="129"/>
  <c r="I56" i="129"/>
  <c r="J56" i="129"/>
  <c r="P54" i="129"/>
  <c r="I54" i="129"/>
  <c r="J54" i="129"/>
  <c r="P53" i="129"/>
  <c r="I53" i="129"/>
  <c r="J53" i="129"/>
  <c r="P52" i="129"/>
  <c r="J52" i="129"/>
  <c r="P51" i="129"/>
  <c r="J51" i="129"/>
  <c r="P50" i="129"/>
  <c r="I50" i="129"/>
  <c r="P49" i="129"/>
  <c r="I49" i="129"/>
  <c r="J49" i="129"/>
  <c r="P48" i="129"/>
  <c r="I48" i="129"/>
  <c r="J48" i="129"/>
  <c r="P47" i="129"/>
  <c r="I47" i="129"/>
  <c r="J47" i="129"/>
  <c r="P46" i="129"/>
  <c r="I46" i="129"/>
  <c r="J46" i="129"/>
  <c r="P45" i="129"/>
  <c r="P44" i="129"/>
  <c r="P43" i="129"/>
  <c r="P42" i="129"/>
  <c r="G42" i="129"/>
  <c r="J42" i="129"/>
  <c r="P40" i="129"/>
  <c r="P39" i="129"/>
  <c r="I39" i="129"/>
  <c r="J39" i="129"/>
  <c r="P38" i="129"/>
  <c r="I38" i="129"/>
  <c r="J38" i="129"/>
  <c r="P37" i="129"/>
  <c r="I37" i="129"/>
  <c r="J37" i="129"/>
  <c r="P36" i="129"/>
  <c r="I36" i="129"/>
  <c r="J36" i="129"/>
  <c r="P35" i="129"/>
  <c r="I35" i="129"/>
  <c r="J35" i="129"/>
  <c r="P34" i="129"/>
  <c r="I34" i="129"/>
  <c r="J34" i="129"/>
  <c r="J29" i="129"/>
  <c r="J28" i="129"/>
  <c r="N26" i="129"/>
  <c r="O26" i="129"/>
  <c r="J26" i="129"/>
  <c r="D46" i="129"/>
  <c r="N46" i="129"/>
  <c r="O46" i="129"/>
  <c r="C15" i="129"/>
  <c r="C14" i="129"/>
  <c r="D10" i="129"/>
  <c r="B10" i="129"/>
  <c r="C10" i="129"/>
  <c r="C9" i="129"/>
  <c r="C8" i="129"/>
  <c r="A6" i="129"/>
  <c r="A4" i="129"/>
  <c r="P60" i="40"/>
  <c r="I60" i="40"/>
  <c r="J60" i="40"/>
  <c r="N60" i="40"/>
  <c r="O60" i="40"/>
  <c r="P59" i="40"/>
  <c r="I59" i="40"/>
  <c r="J59" i="40"/>
  <c r="P51" i="119"/>
  <c r="I51" i="119"/>
  <c r="J51" i="119"/>
  <c r="N51" i="119"/>
  <c r="O51" i="119"/>
  <c r="P50" i="119"/>
  <c r="I50" i="119"/>
  <c r="J50" i="119"/>
  <c r="D50" i="119"/>
  <c r="P53" i="128"/>
  <c r="I53" i="128"/>
  <c r="J53" i="128"/>
  <c r="N53" i="128"/>
  <c r="O53" i="128"/>
  <c r="P52" i="128"/>
  <c r="I52" i="128"/>
  <c r="J52" i="128"/>
  <c r="P52" i="37"/>
  <c r="I52" i="37"/>
  <c r="J52" i="37"/>
  <c r="N52" i="37"/>
  <c r="O52" i="37"/>
  <c r="P51" i="37"/>
  <c r="I51" i="37"/>
  <c r="J51" i="37"/>
  <c r="D37" i="37"/>
  <c r="P57" i="127"/>
  <c r="I57" i="127"/>
  <c r="J57" i="127"/>
  <c r="N57" i="127"/>
  <c r="O57" i="127"/>
  <c r="P56" i="127"/>
  <c r="I56" i="127"/>
  <c r="J56" i="127"/>
  <c r="D56" i="127"/>
  <c r="P51" i="126"/>
  <c r="I51" i="126"/>
  <c r="J51" i="126"/>
  <c r="N51" i="126"/>
  <c r="O51" i="126"/>
  <c r="P50" i="126"/>
  <c r="I50" i="126"/>
  <c r="J50" i="126"/>
  <c r="P50" i="100"/>
  <c r="I50" i="100"/>
  <c r="J50" i="100"/>
  <c r="N50" i="100"/>
  <c r="O50" i="100"/>
  <c r="P49" i="100"/>
  <c r="I49" i="100"/>
  <c r="J49" i="100"/>
  <c r="I31" i="100"/>
  <c r="J31" i="100"/>
  <c r="I37" i="34"/>
  <c r="J37" i="34"/>
  <c r="I32" i="100"/>
  <c r="J32" i="100"/>
  <c r="P56" i="34"/>
  <c r="I56" i="34"/>
  <c r="J56" i="34"/>
  <c r="N56" i="34"/>
  <c r="O56" i="34"/>
  <c r="P55" i="34"/>
  <c r="I55" i="34"/>
  <c r="J55" i="34"/>
  <c r="I38" i="34"/>
  <c r="J38" i="34"/>
  <c r="N20" i="126"/>
  <c r="D27" i="126"/>
  <c r="D31" i="100"/>
  <c r="P49" i="119"/>
  <c r="I49" i="119"/>
  <c r="J49" i="119"/>
  <c r="P48" i="119"/>
  <c r="I48" i="119"/>
  <c r="J48" i="119"/>
  <c r="P58" i="40"/>
  <c r="I58" i="40"/>
  <c r="J58" i="40"/>
  <c r="P57" i="40"/>
  <c r="I57" i="40"/>
  <c r="J57" i="40"/>
  <c r="I51" i="128"/>
  <c r="J51" i="128"/>
  <c r="I50" i="128"/>
  <c r="J50" i="128"/>
  <c r="P51" i="128"/>
  <c r="P50" i="128"/>
  <c r="P50" i="37"/>
  <c r="P49" i="37"/>
  <c r="I50" i="37"/>
  <c r="J50" i="37"/>
  <c r="I49" i="37"/>
  <c r="J49" i="37"/>
  <c r="P55" i="127"/>
  <c r="I55" i="127"/>
  <c r="J55" i="127"/>
  <c r="N55" i="127"/>
  <c r="O55" i="127"/>
  <c r="P49" i="126"/>
  <c r="I49" i="126"/>
  <c r="J49" i="126"/>
  <c r="N49" i="126"/>
  <c r="O49" i="126"/>
  <c r="P48" i="100"/>
  <c r="I48" i="100"/>
  <c r="J48" i="100"/>
  <c r="N48" i="100"/>
  <c r="O48" i="100"/>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c r="G39" i="34"/>
  <c r="J39" i="34"/>
  <c r="P35" i="128"/>
  <c r="P36" i="128"/>
  <c r="G36" i="128"/>
  <c r="J36" i="128"/>
  <c r="G35" i="128"/>
  <c r="J35" i="128"/>
  <c r="D36" i="128"/>
  <c r="D35" i="128"/>
  <c r="P49" i="128"/>
  <c r="I49" i="128"/>
  <c r="J49" i="128"/>
  <c r="P48" i="128"/>
  <c r="G48" i="128"/>
  <c r="J48" i="128"/>
  <c r="P47" i="128"/>
  <c r="I47" i="128"/>
  <c r="N47" i="128"/>
  <c r="O47" i="128"/>
  <c r="P46" i="128"/>
  <c r="I46" i="128"/>
  <c r="J46" i="128"/>
  <c r="P45" i="128"/>
  <c r="J45" i="128"/>
  <c r="P44" i="128"/>
  <c r="I44" i="128"/>
  <c r="P43" i="128"/>
  <c r="I43" i="128"/>
  <c r="J43" i="128"/>
  <c r="P42" i="128"/>
  <c r="I42" i="128"/>
  <c r="J42" i="128"/>
  <c r="P41" i="128"/>
  <c r="I41" i="128"/>
  <c r="J41" i="128"/>
  <c r="N41" i="128"/>
  <c r="O41" i="128"/>
  <c r="P40" i="128"/>
  <c r="I40" i="128"/>
  <c r="J40" i="128"/>
  <c r="P39" i="128"/>
  <c r="H39" i="128"/>
  <c r="J39" i="128"/>
  <c r="P38" i="128"/>
  <c r="P37" i="128"/>
  <c r="G37" i="128"/>
  <c r="J37" i="128"/>
  <c r="P34" i="128"/>
  <c r="P33" i="128"/>
  <c r="I33" i="128"/>
  <c r="J33" i="128"/>
  <c r="P32" i="128"/>
  <c r="I32" i="128"/>
  <c r="J32" i="128"/>
  <c r="P31" i="128"/>
  <c r="I31" i="128"/>
  <c r="J31" i="128"/>
  <c r="P30" i="128"/>
  <c r="I30" i="128"/>
  <c r="J30" i="128"/>
  <c r="P29" i="128"/>
  <c r="I29" i="128"/>
  <c r="J29" i="128"/>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J34" i="128"/>
  <c r="C10" i="128"/>
  <c r="C9" i="128"/>
  <c r="A6" i="128"/>
  <c r="A4" i="128"/>
  <c r="P41" i="127"/>
  <c r="P40" i="127"/>
  <c r="G41" i="127"/>
  <c r="J41" i="127"/>
  <c r="G40" i="127"/>
  <c r="J40" i="127"/>
  <c r="P54" i="127"/>
  <c r="I54" i="127"/>
  <c r="J54" i="127"/>
  <c r="P53" i="127"/>
  <c r="G53" i="127"/>
  <c r="J53" i="127"/>
  <c r="P52" i="127"/>
  <c r="I52" i="127"/>
  <c r="N52" i="127"/>
  <c r="O52" i="127"/>
  <c r="P51" i="127"/>
  <c r="I51" i="127"/>
  <c r="J51" i="127"/>
  <c r="P50" i="127"/>
  <c r="J50" i="127"/>
  <c r="P49" i="127"/>
  <c r="I49" i="127"/>
  <c r="N49" i="127"/>
  <c r="O49" i="127"/>
  <c r="P48" i="127"/>
  <c r="I48" i="127"/>
  <c r="J48" i="127"/>
  <c r="P47" i="127"/>
  <c r="I47" i="127"/>
  <c r="J47" i="127"/>
  <c r="P46" i="127"/>
  <c r="I46" i="127"/>
  <c r="J46" i="127"/>
  <c r="P44" i="127"/>
  <c r="H44" i="127"/>
  <c r="J44" i="127"/>
  <c r="P43" i="127"/>
  <c r="P42" i="127"/>
  <c r="G42" i="127"/>
  <c r="J42" i="127"/>
  <c r="P39" i="127"/>
  <c r="P38" i="127"/>
  <c r="I38" i="127"/>
  <c r="J38" i="127"/>
  <c r="P37" i="127"/>
  <c r="I37" i="127"/>
  <c r="J37" i="127"/>
  <c r="P36" i="127"/>
  <c r="I36" i="127"/>
  <c r="J36" i="127"/>
  <c r="P35" i="127"/>
  <c r="I35" i="127"/>
  <c r="J35" i="127"/>
  <c r="P34" i="127"/>
  <c r="I34" i="127"/>
  <c r="J34" i="127"/>
  <c r="P33" i="127"/>
  <c r="I33" i="127"/>
  <c r="J33" i="127"/>
  <c r="P32" i="127"/>
  <c r="I32" i="127"/>
  <c r="J32" i="127"/>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c r="J39" i="127"/>
  <c r="C10" i="127"/>
  <c r="C9" i="127"/>
  <c r="A6" i="127"/>
  <c r="A4" i="127"/>
  <c r="P45" i="119"/>
  <c r="N45" i="119"/>
  <c r="O45" i="119"/>
  <c r="I45" i="119"/>
  <c r="J45" i="119"/>
  <c r="P54" i="40"/>
  <c r="I54" i="40"/>
  <c r="N54" i="40"/>
  <c r="O54" i="40"/>
  <c r="P46" i="37"/>
  <c r="I46" i="37"/>
  <c r="N46" i="37"/>
  <c r="O46" i="37"/>
  <c r="P46" i="126"/>
  <c r="I46" i="126"/>
  <c r="J46" i="126"/>
  <c r="P45" i="100"/>
  <c r="I45" i="100"/>
  <c r="N45" i="100"/>
  <c r="O45" i="100"/>
  <c r="P51" i="34"/>
  <c r="I51" i="34"/>
  <c r="N51" i="34"/>
  <c r="O51" i="34"/>
  <c r="D48" i="120"/>
  <c r="D49" i="120"/>
  <c r="A4" i="119"/>
  <c r="A5" i="119"/>
  <c r="C9" i="119"/>
  <c r="C10" i="119"/>
  <c r="B11" i="119"/>
  <c r="C11" i="119"/>
  <c r="D11" i="119"/>
  <c r="S13" i="119"/>
  <c r="T13" i="119"/>
  <c r="U13" i="119"/>
  <c r="V13" i="119"/>
  <c r="W13" i="119"/>
  <c r="X13" i="119"/>
  <c r="Y13" i="119"/>
  <c r="Z13" i="119"/>
  <c r="AA13" i="119"/>
  <c r="AB13" i="119"/>
  <c r="AC13" i="119"/>
  <c r="AD13" i="119"/>
  <c r="J19" i="119"/>
  <c r="N19" i="119"/>
  <c r="O19" i="119"/>
  <c r="I25" i="119"/>
  <c r="J25" i="119"/>
  <c r="P25" i="119"/>
  <c r="I26" i="119"/>
  <c r="J26" i="119"/>
  <c r="P26" i="119"/>
  <c r="I27" i="119"/>
  <c r="J27" i="119"/>
  <c r="P27" i="119"/>
  <c r="I28" i="119"/>
  <c r="J28" i="119"/>
  <c r="P28" i="119"/>
  <c r="I29" i="119"/>
  <c r="J29" i="119"/>
  <c r="P29" i="119"/>
  <c r="I30" i="119"/>
  <c r="J30" i="119"/>
  <c r="P30" i="119"/>
  <c r="P31" i="119"/>
  <c r="J32" i="119"/>
  <c r="J33" i="119"/>
  <c r="G34" i="119"/>
  <c r="J34" i="119"/>
  <c r="P34" i="119"/>
  <c r="P35" i="119"/>
  <c r="H36" i="119"/>
  <c r="J36" i="119"/>
  <c r="P36" i="119"/>
  <c r="I37" i="119"/>
  <c r="J37" i="119"/>
  <c r="P37" i="119"/>
  <c r="I38" i="119"/>
  <c r="J38" i="119"/>
  <c r="N38" i="119"/>
  <c r="O38" i="119"/>
  <c r="P38" i="119"/>
  <c r="I39" i="119"/>
  <c r="J39" i="119"/>
  <c r="P39" i="119"/>
  <c r="I40" i="119"/>
  <c r="J40" i="119"/>
  <c r="P40" i="119"/>
  <c r="I41" i="119"/>
  <c r="N41" i="119"/>
  <c r="O41" i="119"/>
  <c r="P41" i="119"/>
  <c r="J42" i="119"/>
  <c r="P42" i="119"/>
  <c r="J43" i="119"/>
  <c r="P43" i="119"/>
  <c r="I44" i="119"/>
  <c r="J44" i="119"/>
  <c r="P44" i="119"/>
  <c r="G46" i="119"/>
  <c r="J46" i="119"/>
  <c r="P46" i="119"/>
  <c r="I47" i="119"/>
  <c r="J47" i="119"/>
  <c r="P47" i="119"/>
  <c r="A4" i="40"/>
  <c r="A6" i="40"/>
  <c r="C8" i="40"/>
  <c r="C9" i="40"/>
  <c r="B10" i="40"/>
  <c r="D10" i="40"/>
  <c r="S12" i="40"/>
  <c r="T12" i="40"/>
  <c r="U12" i="40"/>
  <c r="V12" i="40"/>
  <c r="W12" i="40"/>
  <c r="X12" i="40"/>
  <c r="Y12" i="40"/>
  <c r="Z12" i="40"/>
  <c r="AA12" i="40"/>
  <c r="AB12" i="40"/>
  <c r="AC12" i="40"/>
  <c r="AD12" i="40"/>
  <c r="C14" i="40"/>
  <c r="C15" i="40"/>
  <c r="J26" i="40"/>
  <c r="N26" i="40"/>
  <c r="O26" i="40"/>
  <c r="J28" i="40"/>
  <c r="J29" i="40"/>
  <c r="I34" i="40"/>
  <c r="J34" i="40"/>
  <c r="P34" i="40"/>
  <c r="I35" i="40"/>
  <c r="J35" i="40"/>
  <c r="P35" i="40"/>
  <c r="I36" i="40"/>
  <c r="J36" i="40"/>
  <c r="P36" i="40"/>
  <c r="I37" i="40"/>
  <c r="J37" i="40"/>
  <c r="P37" i="40"/>
  <c r="I38" i="40"/>
  <c r="J38" i="40"/>
  <c r="P38" i="40"/>
  <c r="I39" i="40"/>
  <c r="J39" i="40"/>
  <c r="P39" i="40"/>
  <c r="P40" i="40"/>
  <c r="G41" i="40"/>
  <c r="J41" i="40"/>
  <c r="P41" i="40"/>
  <c r="G42" i="40"/>
  <c r="J42" i="40"/>
  <c r="P42" i="40"/>
  <c r="P43" i="40"/>
  <c r="H44" i="40"/>
  <c r="J44" i="40"/>
  <c r="P44" i="40"/>
  <c r="H45" i="40"/>
  <c r="J45" i="40"/>
  <c r="P45" i="40"/>
  <c r="I46" i="40"/>
  <c r="J46" i="40"/>
  <c r="P46" i="40"/>
  <c r="I47" i="40"/>
  <c r="J47" i="40"/>
  <c r="P47" i="40"/>
  <c r="I48" i="40"/>
  <c r="J48" i="40"/>
  <c r="P48" i="40"/>
  <c r="I49" i="40"/>
  <c r="J49" i="40"/>
  <c r="P49" i="40"/>
  <c r="I50" i="40"/>
  <c r="N50" i="40"/>
  <c r="O50" i="40"/>
  <c r="P50" i="40"/>
  <c r="J51" i="40"/>
  <c r="P51" i="40"/>
  <c r="J52" i="40"/>
  <c r="P52" i="40"/>
  <c r="I53" i="40"/>
  <c r="J53" i="40"/>
  <c r="P53" i="40"/>
  <c r="G55" i="40"/>
  <c r="J55" i="40"/>
  <c r="P55" i="40"/>
  <c r="I56" i="40"/>
  <c r="J56" i="40"/>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c r="P27" i="37"/>
  <c r="I28" i="37"/>
  <c r="J28" i="37"/>
  <c r="P28" i="37"/>
  <c r="I29" i="37"/>
  <c r="J29" i="37"/>
  <c r="P29" i="37"/>
  <c r="I30" i="37"/>
  <c r="J30" i="37"/>
  <c r="P30" i="37"/>
  <c r="I31" i="37"/>
  <c r="J31" i="37"/>
  <c r="P31" i="37"/>
  <c r="I32" i="37"/>
  <c r="J32" i="37"/>
  <c r="P32" i="37"/>
  <c r="I33" i="37"/>
  <c r="J33" i="37"/>
  <c r="P33" i="37"/>
  <c r="P34" i="37"/>
  <c r="G35" i="37"/>
  <c r="J35" i="37"/>
  <c r="P35" i="37"/>
  <c r="G36" i="37"/>
  <c r="J36" i="37"/>
  <c r="P36" i="37"/>
  <c r="P37" i="37"/>
  <c r="H38" i="37"/>
  <c r="J38" i="37"/>
  <c r="P38" i="37"/>
  <c r="I39" i="37"/>
  <c r="J39" i="37"/>
  <c r="P39" i="37"/>
  <c r="I40" i="37"/>
  <c r="J40" i="37"/>
  <c r="N40" i="37"/>
  <c r="O40" i="37"/>
  <c r="P40" i="37"/>
  <c r="I41" i="37"/>
  <c r="J41" i="37"/>
  <c r="P41" i="37"/>
  <c r="I42" i="37"/>
  <c r="J42" i="37"/>
  <c r="P42" i="37"/>
  <c r="I43" i="37"/>
  <c r="P43" i="37"/>
  <c r="J44" i="37"/>
  <c r="P44" i="37"/>
  <c r="I45" i="37"/>
  <c r="J45" i="37"/>
  <c r="P45" i="37"/>
  <c r="G47" i="37"/>
  <c r="P47" i="37"/>
  <c r="I48" i="37"/>
  <c r="J48" i="37"/>
  <c r="P48" i="37"/>
  <c r="A4" i="126"/>
  <c r="A6" i="126"/>
  <c r="C9" i="126"/>
  <c r="C10" i="126"/>
  <c r="B11" i="126"/>
  <c r="C11" i="126"/>
  <c r="D11" i="126"/>
  <c r="S15" i="126"/>
  <c r="T15" i="126"/>
  <c r="U15" i="126"/>
  <c r="V15" i="126"/>
  <c r="W15" i="126"/>
  <c r="X15" i="126"/>
  <c r="Y15" i="126"/>
  <c r="Z15" i="126"/>
  <c r="AA15" i="126"/>
  <c r="AB15" i="126"/>
  <c r="AC15" i="126"/>
  <c r="AD15" i="126"/>
  <c r="J19" i="126"/>
  <c r="N19" i="126"/>
  <c r="O19" i="126"/>
  <c r="I25" i="126"/>
  <c r="J25" i="126"/>
  <c r="P25" i="126"/>
  <c r="I26" i="126"/>
  <c r="J26" i="126"/>
  <c r="P26" i="126"/>
  <c r="I27" i="126"/>
  <c r="J27" i="126"/>
  <c r="P27" i="126"/>
  <c r="I28" i="126"/>
  <c r="J28" i="126"/>
  <c r="P28" i="126"/>
  <c r="I29" i="126"/>
  <c r="J29" i="126"/>
  <c r="P29" i="126"/>
  <c r="I30" i="126"/>
  <c r="J30" i="126"/>
  <c r="P30" i="126"/>
  <c r="I31" i="126"/>
  <c r="J31" i="126"/>
  <c r="P31" i="126"/>
  <c r="I32" i="126"/>
  <c r="J32" i="126"/>
  <c r="P32" i="126"/>
  <c r="P33" i="126"/>
  <c r="G34" i="126"/>
  <c r="J34" i="126"/>
  <c r="P34" i="126"/>
  <c r="G35" i="126"/>
  <c r="J35" i="126"/>
  <c r="P35" i="126"/>
  <c r="G36" i="126"/>
  <c r="J36" i="126"/>
  <c r="P36" i="126"/>
  <c r="P37" i="126"/>
  <c r="H38" i="126"/>
  <c r="J38" i="126"/>
  <c r="P38" i="126"/>
  <c r="I40" i="126"/>
  <c r="J40" i="126"/>
  <c r="P40" i="126"/>
  <c r="I41" i="126"/>
  <c r="J41" i="126"/>
  <c r="P41" i="126"/>
  <c r="I42" i="126"/>
  <c r="J42" i="126"/>
  <c r="P42" i="126"/>
  <c r="I43" i="126"/>
  <c r="J43" i="126"/>
  <c r="P43" i="126"/>
  <c r="J44" i="126"/>
  <c r="P44" i="126"/>
  <c r="I45" i="126"/>
  <c r="J45" i="126"/>
  <c r="P45" i="126"/>
  <c r="G47" i="126"/>
  <c r="J47" i="126"/>
  <c r="P47" i="126"/>
  <c r="I48" i="126"/>
  <c r="J48" i="126"/>
  <c r="P48" i="126"/>
  <c r="A5" i="100"/>
  <c r="C8" i="100"/>
  <c r="C9" i="100"/>
  <c r="B10" i="100"/>
  <c r="D10" i="100"/>
  <c r="C15" i="100"/>
  <c r="D20" i="100"/>
  <c r="J19" i="100"/>
  <c r="N19" i="100"/>
  <c r="O19" i="100"/>
  <c r="I25" i="100"/>
  <c r="J25" i="100"/>
  <c r="P25" i="100"/>
  <c r="I26" i="100"/>
  <c r="J26" i="100"/>
  <c r="P26" i="100"/>
  <c r="I27" i="100"/>
  <c r="J27" i="100"/>
  <c r="P27" i="100"/>
  <c r="I28" i="100"/>
  <c r="J28" i="100"/>
  <c r="P28" i="100"/>
  <c r="I29" i="100"/>
  <c r="J29" i="100"/>
  <c r="P29" i="100"/>
  <c r="I30" i="100"/>
  <c r="J30" i="100"/>
  <c r="P30" i="100"/>
  <c r="P31" i="100"/>
  <c r="P32" i="100"/>
  <c r="G35" i="100"/>
  <c r="J35" i="100"/>
  <c r="P35" i="100"/>
  <c r="P36" i="100"/>
  <c r="H37" i="100"/>
  <c r="J37" i="100"/>
  <c r="P37" i="100"/>
  <c r="I39" i="100"/>
  <c r="J39" i="100"/>
  <c r="P39" i="100"/>
  <c r="I40" i="100"/>
  <c r="J40" i="100"/>
  <c r="P40" i="100"/>
  <c r="I41" i="100"/>
  <c r="J41" i="100"/>
  <c r="P41" i="100"/>
  <c r="I42" i="100"/>
  <c r="J42" i="100"/>
  <c r="P42" i="100"/>
  <c r="J43" i="100"/>
  <c r="P43" i="100"/>
  <c r="I44" i="100"/>
  <c r="J44" i="100"/>
  <c r="P44" i="100"/>
  <c r="G46" i="100"/>
  <c r="J46" i="100"/>
  <c r="P46" i="100"/>
  <c r="I47" i="100"/>
  <c r="J47" i="100"/>
  <c r="P47" i="100"/>
  <c r="A4" i="34"/>
  <c r="A6" i="34"/>
  <c r="C9" i="34"/>
  <c r="C10" i="34"/>
  <c r="B11" i="34"/>
  <c r="C11" i="34"/>
  <c r="D11" i="34"/>
  <c r="J25" i="34"/>
  <c r="N25" i="34"/>
  <c r="O25" i="34"/>
  <c r="J26" i="34"/>
  <c r="I31" i="34"/>
  <c r="J31" i="34"/>
  <c r="P31" i="34"/>
  <c r="I32" i="34"/>
  <c r="J32" i="34"/>
  <c r="P32" i="34"/>
  <c r="I33" i="34"/>
  <c r="J33" i="34"/>
  <c r="P33" i="34"/>
  <c r="I34" i="34"/>
  <c r="J34" i="34"/>
  <c r="P34" i="34"/>
  <c r="I35" i="34"/>
  <c r="J35" i="34"/>
  <c r="P35" i="34"/>
  <c r="I36" i="34"/>
  <c r="J36" i="34"/>
  <c r="P36" i="34"/>
  <c r="P37" i="34"/>
  <c r="P38" i="34"/>
  <c r="G40" i="34"/>
  <c r="J40" i="34"/>
  <c r="P40" i="34"/>
  <c r="G41" i="34"/>
  <c r="J41" i="34"/>
  <c r="P41" i="34"/>
  <c r="P42" i="34"/>
  <c r="H43" i="34"/>
  <c r="J43" i="34"/>
  <c r="P43" i="34"/>
  <c r="I45" i="34"/>
  <c r="J45" i="34"/>
  <c r="P45" i="34"/>
  <c r="I46" i="34"/>
  <c r="J46" i="34"/>
  <c r="P46" i="34"/>
  <c r="I47" i="34"/>
  <c r="J47" i="34"/>
  <c r="P47" i="34"/>
  <c r="I48" i="34"/>
  <c r="N48" i="34"/>
  <c r="O48" i="34"/>
  <c r="P48" i="34"/>
  <c r="J49" i="34"/>
  <c r="P49" i="34"/>
  <c r="I50" i="34"/>
  <c r="J50" i="34"/>
  <c r="P50" i="34"/>
  <c r="G52" i="34"/>
  <c r="J52" i="34"/>
  <c r="P52" i="34"/>
  <c r="I53" i="34"/>
  <c r="J53" i="34"/>
  <c r="P53" i="34"/>
  <c r="E18" i="1"/>
  <c r="C19" i="136"/>
  <c r="D29" i="1"/>
  <c r="J22" i="37"/>
  <c r="D38" i="37"/>
  <c r="J20" i="119"/>
  <c r="D44" i="127"/>
  <c r="D49" i="34"/>
  <c r="O49" i="34"/>
  <c r="J20" i="126"/>
  <c r="D32" i="37"/>
  <c r="D35" i="119"/>
  <c r="N45" i="127"/>
  <c r="O45" i="127"/>
  <c r="N38" i="100"/>
  <c r="O38" i="100"/>
  <c r="J51" i="34"/>
  <c r="I39" i="146"/>
  <c r="J39" i="146"/>
  <c r="N39" i="146"/>
  <c r="N55" i="146"/>
  <c r="N57" i="146"/>
  <c r="I39" i="154"/>
  <c r="J39" i="154"/>
  <c r="N39" i="154"/>
  <c r="I38" i="152"/>
  <c r="J38" i="152"/>
  <c r="N38" i="152"/>
  <c r="I38" i="153"/>
  <c r="J38" i="153"/>
  <c r="N38" i="153"/>
  <c r="I38" i="151"/>
  <c r="J38" i="151"/>
  <c r="N38" i="151"/>
  <c r="I38" i="148"/>
  <c r="J38" i="148"/>
  <c r="N38" i="148"/>
  <c r="I38" i="149"/>
  <c r="J38" i="149"/>
  <c r="N38" i="149"/>
  <c r="I38" i="147"/>
  <c r="J38" i="147"/>
  <c r="N38" i="147"/>
  <c r="I38" i="144"/>
  <c r="J38" i="144"/>
  <c r="N38" i="144"/>
  <c r="I38" i="145"/>
  <c r="J38" i="145"/>
  <c r="N38" i="145"/>
  <c r="N42" i="100"/>
  <c r="O42" i="100"/>
  <c r="C20" i="40"/>
  <c r="D17" i="40"/>
  <c r="N21" i="126"/>
  <c r="D30" i="126"/>
  <c r="N30" i="126"/>
  <c r="O30" i="126"/>
  <c r="N43" i="126"/>
  <c r="O43" i="126"/>
  <c r="N32" i="37"/>
  <c r="O32" i="37"/>
  <c r="C20" i="141"/>
  <c r="C18" i="141"/>
  <c r="D18" i="141"/>
  <c r="C20" i="142"/>
  <c r="C18" i="142"/>
  <c r="C17" i="139"/>
  <c r="C17" i="138"/>
  <c r="C19" i="130"/>
  <c r="J34" i="100"/>
  <c r="J33" i="100"/>
  <c r="D30" i="1"/>
  <c r="I35" i="133"/>
  <c r="J35" i="133"/>
  <c r="I40" i="142"/>
  <c r="J40" i="142"/>
  <c r="N40" i="142"/>
  <c r="O40" i="142"/>
  <c r="I40" i="141"/>
  <c r="J40" i="141"/>
  <c r="N40" i="141"/>
  <c r="I38" i="139"/>
  <c r="J38" i="139"/>
  <c r="N38" i="139"/>
  <c r="O38" i="139"/>
  <c r="I38" i="138"/>
  <c r="J38" i="138"/>
  <c r="N38" i="138"/>
  <c r="O38" i="138"/>
  <c r="I43" i="127"/>
  <c r="J43" i="127"/>
  <c r="N43" i="127"/>
  <c r="O43" i="127"/>
  <c r="I43" i="140"/>
  <c r="J43" i="140"/>
  <c r="N43" i="140"/>
  <c r="O43" i="140"/>
  <c r="I42" i="34"/>
  <c r="J42" i="34"/>
  <c r="N42" i="34"/>
  <c r="O42" i="34"/>
  <c r="I37" i="126"/>
  <c r="J37" i="126"/>
  <c r="N37" i="126"/>
  <c r="O37" i="126"/>
  <c r="N54" i="129"/>
  <c r="O54" i="129"/>
  <c r="J47" i="128"/>
  <c r="J40" i="40"/>
  <c r="D47" i="140"/>
  <c r="N47" i="140"/>
  <c r="O47" i="140"/>
  <c r="D48" i="140"/>
  <c r="N48" i="140"/>
  <c r="O48" i="140"/>
  <c r="D51" i="140"/>
  <c r="N51" i="140"/>
  <c r="O51" i="140"/>
  <c r="D39" i="140"/>
  <c r="N39" i="140"/>
  <c r="O39" i="140"/>
  <c r="D37" i="140"/>
  <c r="N37" i="140"/>
  <c r="J31" i="119"/>
  <c r="L32" i="119"/>
  <c r="O32" i="119"/>
  <c r="C10" i="40"/>
  <c r="C11" i="128"/>
  <c r="D33" i="139"/>
  <c r="N33" i="139"/>
  <c r="O33" i="139"/>
  <c r="D45" i="139"/>
  <c r="O45" i="139"/>
  <c r="N30" i="139"/>
  <c r="O30" i="139"/>
  <c r="N29" i="139"/>
  <c r="D44" i="139"/>
  <c r="O44" i="139"/>
  <c r="O39" i="139"/>
  <c r="M55" i="139"/>
  <c r="M57" i="139"/>
  <c r="L55" i="139"/>
  <c r="L57" i="139"/>
  <c r="O64" i="139"/>
  <c r="O35" i="139"/>
  <c r="L35" i="138"/>
  <c r="O35" i="138"/>
  <c r="O39" i="138"/>
  <c r="M55" i="138"/>
  <c r="M57" i="138"/>
  <c r="N29" i="138"/>
  <c r="D44" i="138"/>
  <c r="O44" i="138"/>
  <c r="D45" i="138"/>
  <c r="O45" i="138"/>
  <c r="N30" i="138"/>
  <c r="O30" i="138"/>
  <c r="D33" i="138"/>
  <c r="N33" i="138"/>
  <c r="O33" i="138"/>
  <c r="D35" i="133"/>
  <c r="D27" i="128"/>
  <c r="N27" i="128"/>
  <c r="O27" i="128"/>
  <c r="D27" i="37"/>
  <c r="N27" i="37"/>
  <c r="O27" i="37"/>
  <c r="D50" i="37"/>
  <c r="N50" i="37"/>
  <c r="O50" i="37"/>
  <c r="D29" i="100"/>
  <c r="N29" i="100"/>
  <c r="O29" i="100"/>
  <c r="L46" i="119"/>
  <c r="O46" i="119"/>
  <c r="L34" i="128"/>
  <c r="O34" i="128"/>
  <c r="D58" i="40"/>
  <c r="N58" i="40"/>
  <c r="O58" i="40"/>
  <c r="L40" i="40"/>
  <c r="D38" i="128"/>
  <c r="D48" i="119"/>
  <c r="N48" i="119"/>
  <c r="O48" i="119"/>
  <c r="D48" i="37"/>
  <c r="N48" i="37"/>
  <c r="O48" i="37"/>
  <c r="D31" i="37"/>
  <c r="N31" i="37"/>
  <c r="O31" i="37"/>
  <c r="D31" i="128"/>
  <c r="N31" i="128"/>
  <c r="O31" i="128"/>
  <c r="L48" i="128"/>
  <c r="O48" i="128"/>
  <c r="D32" i="128"/>
  <c r="N32" i="128"/>
  <c r="O32" i="128"/>
  <c r="D34" i="127"/>
  <c r="N34" i="127"/>
  <c r="O34" i="127"/>
  <c r="D44" i="37"/>
  <c r="O44" i="37"/>
  <c r="D44" i="40"/>
  <c r="M44" i="40"/>
  <c r="O44" i="40"/>
  <c r="L35" i="126"/>
  <c r="O35" i="126"/>
  <c r="D30" i="37"/>
  <c r="N30" i="37"/>
  <c r="O30" i="37"/>
  <c r="D29" i="37"/>
  <c r="N29" i="37"/>
  <c r="O29" i="37"/>
  <c r="D50" i="128"/>
  <c r="N50" i="128"/>
  <c r="O50" i="128"/>
  <c r="D49" i="119"/>
  <c r="N49" i="119"/>
  <c r="O49" i="119"/>
  <c r="L37" i="128"/>
  <c r="O37" i="128"/>
  <c r="D28" i="37"/>
  <c r="N28" i="37"/>
  <c r="O28" i="37"/>
  <c r="D39" i="128"/>
  <c r="M39" i="128"/>
  <c r="M55" i="128"/>
  <c r="M57" i="128"/>
  <c r="D51" i="37"/>
  <c r="N51" i="37"/>
  <c r="O51" i="37"/>
  <c r="I39" i="136"/>
  <c r="J39" i="136"/>
  <c r="J48" i="34"/>
  <c r="L47" i="37"/>
  <c r="O47" i="37"/>
  <c r="I35" i="119"/>
  <c r="J35" i="119"/>
  <c r="N35" i="119"/>
  <c r="O35" i="119"/>
  <c r="N39" i="132"/>
  <c r="O39" i="132"/>
  <c r="I36" i="100"/>
  <c r="J36" i="100"/>
  <c r="N36" i="100"/>
  <c r="O36" i="100"/>
  <c r="D45" i="128"/>
  <c r="O45" i="128"/>
  <c r="D49" i="128"/>
  <c r="N49" i="128"/>
  <c r="O49" i="128"/>
  <c r="D29" i="128"/>
  <c r="N29" i="128"/>
  <c r="O29" i="128"/>
  <c r="D34" i="34"/>
  <c r="N34" i="34"/>
  <c r="O34" i="34"/>
  <c r="D40" i="128"/>
  <c r="N40" i="128"/>
  <c r="O40" i="128"/>
  <c r="D37" i="34"/>
  <c r="N37" i="34"/>
  <c r="O37" i="34"/>
  <c r="C10" i="100"/>
  <c r="M38" i="37"/>
  <c r="M54" i="37"/>
  <c r="M56" i="37"/>
  <c r="I37" i="37"/>
  <c r="J37" i="37"/>
  <c r="N37" i="37"/>
  <c r="O37" i="37"/>
  <c r="N56" i="127"/>
  <c r="O56" i="127"/>
  <c r="N52" i="128"/>
  <c r="O52" i="128"/>
  <c r="D43" i="129"/>
  <c r="L55" i="129"/>
  <c r="O55" i="129"/>
  <c r="I39" i="131"/>
  <c r="J39" i="131"/>
  <c r="N39" i="131"/>
  <c r="O39" i="131"/>
  <c r="I33" i="132"/>
  <c r="J33" i="132"/>
  <c r="N33" i="132"/>
  <c r="O33" i="132"/>
  <c r="I38" i="128"/>
  <c r="J38" i="128"/>
  <c r="J54" i="40"/>
  <c r="N22" i="37"/>
  <c r="L36" i="37"/>
  <c r="O36" i="37"/>
  <c r="D39" i="37"/>
  <c r="N39" i="37"/>
  <c r="O39" i="37"/>
  <c r="D51" i="128"/>
  <c r="N51" i="128"/>
  <c r="O51" i="128"/>
  <c r="J22" i="128"/>
  <c r="D30" i="128"/>
  <c r="N30" i="128"/>
  <c r="O30" i="128"/>
  <c r="D28" i="128"/>
  <c r="N28" i="128"/>
  <c r="O28" i="128"/>
  <c r="D31" i="34"/>
  <c r="N31" i="34"/>
  <c r="O31" i="34"/>
  <c r="D54" i="127"/>
  <c r="N54" i="127"/>
  <c r="O54" i="127"/>
  <c r="D49" i="37"/>
  <c r="N49" i="37"/>
  <c r="O49" i="37"/>
  <c r="J52" i="127"/>
  <c r="I43" i="40"/>
  <c r="J43" i="40"/>
  <c r="N46" i="126"/>
  <c r="O46" i="126"/>
  <c r="N50" i="119"/>
  <c r="O50" i="119"/>
  <c r="I15" i="129"/>
  <c r="C20" i="129"/>
  <c r="D14" i="129"/>
  <c r="N53" i="130"/>
  <c r="O53" i="130"/>
  <c r="L36" i="128"/>
  <c r="O36" i="128"/>
  <c r="I43" i="129"/>
  <c r="J43" i="129"/>
  <c r="J46" i="37"/>
  <c r="N27" i="126"/>
  <c r="O27" i="126"/>
  <c r="I42" i="130"/>
  <c r="J42" i="130"/>
  <c r="J43" i="37"/>
  <c r="N43" i="37"/>
  <c r="O43" i="37"/>
  <c r="N50" i="129"/>
  <c r="O50" i="129"/>
  <c r="J50" i="129"/>
  <c r="L55" i="40"/>
  <c r="O55" i="40"/>
  <c r="J47" i="37"/>
  <c r="M44" i="127"/>
  <c r="O44" i="127"/>
  <c r="J44" i="128"/>
  <c r="N44" i="128"/>
  <c r="O44" i="128"/>
  <c r="J49" i="130"/>
  <c r="N49" i="130"/>
  <c r="O49" i="130"/>
  <c r="N29" i="132"/>
  <c r="O29" i="132"/>
  <c r="L40" i="127"/>
  <c r="O40" i="127"/>
  <c r="L40" i="34"/>
  <c r="O40" i="34"/>
  <c r="J41" i="119"/>
  <c r="L35" i="37"/>
  <c r="O35" i="37"/>
  <c r="L41" i="40"/>
  <c r="O41" i="40"/>
  <c r="L41" i="127"/>
  <c r="O41" i="127"/>
  <c r="L35" i="128"/>
  <c r="O35" i="128"/>
  <c r="L39" i="127"/>
  <c r="D26" i="100"/>
  <c r="N26" i="100"/>
  <c r="O26" i="100"/>
  <c r="D35" i="127"/>
  <c r="N35" i="127"/>
  <c r="O35" i="127"/>
  <c r="N26" i="127"/>
  <c r="O26" i="127"/>
  <c r="O27" i="127"/>
  <c r="N37" i="127"/>
  <c r="O37" i="127"/>
  <c r="D31" i="127"/>
  <c r="N31" i="127"/>
  <c r="O31" i="127"/>
  <c r="D28" i="100"/>
  <c r="N28" i="100"/>
  <c r="O28" i="100"/>
  <c r="D27" i="100"/>
  <c r="N27" i="100"/>
  <c r="O27" i="100"/>
  <c r="L34" i="126"/>
  <c r="O34" i="126"/>
  <c r="D36" i="130"/>
  <c r="N36" i="130"/>
  <c r="O36" i="130"/>
  <c r="D57" i="130"/>
  <c r="N57" i="130"/>
  <c r="O57" i="130"/>
  <c r="D32" i="127"/>
  <c r="N32" i="127"/>
  <c r="O32" i="127"/>
  <c r="D33" i="127"/>
  <c r="N33" i="127"/>
  <c r="O33" i="127"/>
  <c r="L53" i="127"/>
  <c r="O53" i="127"/>
  <c r="L33" i="119"/>
  <c r="O33" i="119"/>
  <c r="L40" i="130"/>
  <c r="O40" i="130"/>
  <c r="D25" i="100"/>
  <c r="N25" i="100"/>
  <c r="O25" i="100"/>
  <c r="D50" i="127"/>
  <c r="O50" i="127"/>
  <c r="O64" i="127"/>
  <c r="L42" i="127"/>
  <c r="O42" i="127"/>
  <c r="D46" i="127"/>
  <c r="N46" i="127"/>
  <c r="O46" i="127"/>
  <c r="D37" i="129"/>
  <c r="N37" i="129"/>
  <c r="O37" i="129"/>
  <c r="D50" i="126"/>
  <c r="N50" i="126"/>
  <c r="O50" i="126"/>
  <c r="D44" i="126"/>
  <c r="O44" i="126"/>
  <c r="D36" i="119"/>
  <c r="M36" i="119"/>
  <c r="M53" i="119"/>
  <c r="M55" i="119"/>
  <c r="D27" i="119"/>
  <c r="N27" i="119"/>
  <c r="D47" i="119"/>
  <c r="N47" i="119"/>
  <c r="O47" i="119"/>
  <c r="D37" i="119"/>
  <c r="N37" i="119"/>
  <c r="O37" i="119"/>
  <c r="D55" i="34"/>
  <c r="N55" i="34"/>
  <c r="O55" i="34"/>
  <c r="D49" i="100"/>
  <c r="N49" i="100"/>
  <c r="O49" i="100"/>
  <c r="D57" i="129"/>
  <c r="N57" i="129"/>
  <c r="O57" i="129"/>
  <c r="D55" i="130"/>
  <c r="N55" i="130"/>
  <c r="O55" i="130"/>
  <c r="D28" i="119"/>
  <c r="N28" i="119"/>
  <c r="O28" i="119"/>
  <c r="L34" i="119"/>
  <c r="O34" i="119"/>
  <c r="D26" i="119"/>
  <c r="N21" i="119"/>
  <c r="D44" i="119"/>
  <c r="N44" i="119"/>
  <c r="O44" i="119"/>
  <c r="L41" i="129"/>
  <c r="O41" i="129"/>
  <c r="J40" i="129"/>
  <c r="J33" i="126"/>
  <c r="J46" i="136"/>
  <c r="N48" i="136"/>
  <c r="O48" i="136"/>
  <c r="D14" i="136"/>
  <c r="D15" i="136"/>
  <c r="D35" i="136"/>
  <c r="N35" i="136"/>
  <c r="O35" i="136"/>
  <c r="D42" i="136"/>
  <c r="N42" i="136"/>
  <c r="O42" i="136"/>
  <c r="D16" i="136"/>
  <c r="D52" i="136"/>
  <c r="N52" i="136"/>
  <c r="O52" i="136"/>
  <c r="I15" i="136"/>
  <c r="D17" i="136"/>
  <c r="D33" i="136"/>
  <c r="N33" i="136"/>
  <c r="O33" i="136"/>
  <c r="D40" i="136"/>
  <c r="M40" i="136"/>
  <c r="O40" i="136"/>
  <c r="N50" i="136"/>
  <c r="O50" i="136"/>
  <c r="D36" i="136"/>
  <c r="N36" i="136"/>
  <c r="O36" i="136"/>
  <c r="D39" i="136"/>
  <c r="D49" i="136"/>
  <c r="N49" i="136"/>
  <c r="O49" i="136"/>
  <c r="D51" i="136"/>
  <c r="N51" i="136"/>
  <c r="O51" i="136"/>
  <c r="D28" i="133"/>
  <c r="N28" i="133"/>
  <c r="O28" i="133"/>
  <c r="D45" i="133"/>
  <c r="N45" i="133"/>
  <c r="O45" i="133"/>
  <c r="D32" i="133"/>
  <c r="N32" i="133"/>
  <c r="O32" i="133"/>
  <c r="D30" i="133"/>
  <c r="N30" i="133"/>
  <c r="O30" i="133"/>
  <c r="D47" i="133"/>
  <c r="N47" i="133"/>
  <c r="O47" i="133"/>
  <c r="C11" i="133"/>
  <c r="O21" i="133"/>
  <c r="N41" i="133"/>
  <c r="O41" i="133"/>
  <c r="N43" i="133"/>
  <c r="O43" i="133"/>
  <c r="D22" i="133"/>
  <c r="N22" i="133"/>
  <c r="O22" i="133"/>
  <c r="D23" i="133"/>
  <c r="N23" i="133"/>
  <c r="O23" i="133"/>
  <c r="D29" i="133"/>
  <c r="N29" i="133"/>
  <c r="O29" i="133"/>
  <c r="D31" i="133"/>
  <c r="N31" i="133"/>
  <c r="O31" i="133"/>
  <c r="D33" i="133"/>
  <c r="N33" i="133"/>
  <c r="O33" i="133"/>
  <c r="D36" i="133"/>
  <c r="M36" i="133"/>
  <c r="D44" i="133"/>
  <c r="N44" i="133"/>
  <c r="O44" i="133"/>
  <c r="D46" i="133"/>
  <c r="N46" i="133"/>
  <c r="O46" i="133"/>
  <c r="N41" i="132"/>
  <c r="O41" i="132"/>
  <c r="D27" i="132"/>
  <c r="N27" i="132"/>
  <c r="O27" i="132"/>
  <c r="D31" i="132"/>
  <c r="N31" i="132"/>
  <c r="O31" i="132"/>
  <c r="N20" i="132"/>
  <c r="O20" i="132"/>
  <c r="D25" i="132"/>
  <c r="N25" i="132"/>
  <c r="O25" i="132"/>
  <c r="O19" i="132"/>
  <c r="D36" i="132"/>
  <c r="N36" i="132"/>
  <c r="O36" i="132"/>
  <c r="D44" i="132"/>
  <c r="N44" i="132"/>
  <c r="O44" i="132"/>
  <c r="D26" i="132"/>
  <c r="N26" i="132"/>
  <c r="O26" i="132"/>
  <c r="D28" i="132"/>
  <c r="N28" i="132"/>
  <c r="O28" i="132"/>
  <c r="D42" i="132"/>
  <c r="N42" i="132"/>
  <c r="O42" i="132"/>
  <c r="D34" i="132"/>
  <c r="M34" i="132"/>
  <c r="D37" i="131"/>
  <c r="N37" i="131"/>
  <c r="O37" i="131"/>
  <c r="D33" i="131"/>
  <c r="N33" i="131"/>
  <c r="O33" i="131"/>
  <c r="J47" i="131"/>
  <c r="D31" i="131"/>
  <c r="N31" i="131"/>
  <c r="O31" i="131"/>
  <c r="D35" i="131"/>
  <c r="N35" i="131"/>
  <c r="O35" i="131"/>
  <c r="J45" i="131"/>
  <c r="O25" i="131"/>
  <c r="D42" i="131"/>
  <c r="N42" i="131"/>
  <c r="O42" i="131"/>
  <c r="D50" i="131"/>
  <c r="N50" i="131"/>
  <c r="O50" i="131"/>
  <c r="D26" i="131"/>
  <c r="N26" i="131"/>
  <c r="O26" i="131"/>
  <c r="D32" i="131"/>
  <c r="N32" i="131"/>
  <c r="O32" i="131"/>
  <c r="D34" i="131"/>
  <c r="N34" i="131"/>
  <c r="O34" i="131"/>
  <c r="D48" i="131"/>
  <c r="N48" i="131"/>
  <c r="O48" i="131"/>
  <c r="M40" i="131"/>
  <c r="C10" i="130"/>
  <c r="L54" i="130"/>
  <c r="O54" i="130"/>
  <c r="D56" i="130"/>
  <c r="N56" i="130"/>
  <c r="O56" i="130"/>
  <c r="I15" i="130"/>
  <c r="D42" i="130"/>
  <c r="D33" i="130"/>
  <c r="D34" i="130"/>
  <c r="D51" i="130"/>
  <c r="O51" i="130"/>
  <c r="D35" i="130"/>
  <c r="N35" i="130"/>
  <c r="O35" i="130"/>
  <c r="L41" i="130"/>
  <c r="O41" i="130"/>
  <c r="D43" i="130"/>
  <c r="M43" i="130"/>
  <c r="D56" i="129"/>
  <c r="N56" i="129"/>
  <c r="O56" i="129"/>
  <c r="D58" i="129"/>
  <c r="N58" i="129"/>
  <c r="O58" i="129"/>
  <c r="D34" i="129"/>
  <c r="D35" i="129"/>
  <c r="D52" i="129"/>
  <c r="O52" i="129"/>
  <c r="D36" i="129"/>
  <c r="N36" i="129"/>
  <c r="O36" i="129"/>
  <c r="L42" i="129"/>
  <c r="O42" i="129"/>
  <c r="D44" i="129"/>
  <c r="M44" i="129"/>
  <c r="D43" i="40"/>
  <c r="I15" i="40"/>
  <c r="L42" i="40"/>
  <c r="O42" i="40"/>
  <c r="N46" i="40"/>
  <c r="O46" i="40"/>
  <c r="D56" i="40"/>
  <c r="N56" i="40"/>
  <c r="O56" i="40"/>
  <c r="D34" i="40"/>
  <c r="D35" i="40"/>
  <c r="D52" i="40"/>
  <c r="O52" i="40"/>
  <c r="D57" i="40"/>
  <c r="N57" i="40"/>
  <c r="O57" i="40"/>
  <c r="D36" i="40"/>
  <c r="D37" i="40"/>
  <c r="N37" i="40"/>
  <c r="O37" i="40"/>
  <c r="J50" i="40"/>
  <c r="O21" i="119"/>
  <c r="J49" i="127"/>
  <c r="D40" i="126"/>
  <c r="N40" i="126"/>
  <c r="O40" i="126"/>
  <c r="D48" i="126"/>
  <c r="N48" i="126"/>
  <c r="O48" i="126"/>
  <c r="L36" i="126"/>
  <c r="O36" i="126"/>
  <c r="N25" i="126"/>
  <c r="L47" i="126"/>
  <c r="O47" i="126"/>
  <c r="D29" i="126"/>
  <c r="N29" i="126"/>
  <c r="O29" i="126"/>
  <c r="D31" i="126"/>
  <c r="N31" i="126"/>
  <c r="O31" i="126"/>
  <c r="D28" i="126"/>
  <c r="N28" i="126"/>
  <c r="O28" i="126"/>
  <c r="D26" i="126"/>
  <c r="N26" i="126"/>
  <c r="O26" i="126"/>
  <c r="D38" i="126"/>
  <c r="M38" i="126"/>
  <c r="M53" i="126"/>
  <c r="O20" i="126"/>
  <c r="J45" i="100"/>
  <c r="N31" i="100"/>
  <c r="O31" i="100"/>
  <c r="L35" i="100"/>
  <c r="O35" i="100"/>
  <c r="D39" i="100"/>
  <c r="N39" i="100"/>
  <c r="O39" i="100"/>
  <c r="D43" i="100"/>
  <c r="O43" i="100"/>
  <c r="J20" i="100"/>
  <c r="L34" i="100"/>
  <c r="O34" i="100"/>
  <c r="D47" i="100"/>
  <c r="N47" i="100"/>
  <c r="O47" i="100"/>
  <c r="D37" i="100"/>
  <c r="M37" i="100"/>
  <c r="M52" i="100"/>
  <c r="L46" i="100"/>
  <c r="O46" i="100"/>
  <c r="N20" i="100"/>
  <c r="D35" i="34"/>
  <c r="N35" i="34"/>
  <c r="O35" i="34"/>
  <c r="D32" i="34"/>
  <c r="N32" i="34"/>
  <c r="O32" i="34"/>
  <c r="D26" i="34"/>
  <c r="N26" i="34"/>
  <c r="D33" i="34"/>
  <c r="N33" i="34"/>
  <c r="O33" i="34"/>
  <c r="D53" i="34"/>
  <c r="N53" i="34"/>
  <c r="O53" i="34"/>
  <c r="L39" i="34"/>
  <c r="L41" i="34"/>
  <c r="O41" i="34"/>
  <c r="L52" i="34"/>
  <c r="O52" i="34"/>
  <c r="D45" i="34"/>
  <c r="N45" i="34"/>
  <c r="O45" i="34"/>
  <c r="D43" i="34"/>
  <c r="M43" i="34"/>
  <c r="M58" i="34"/>
  <c r="O63" i="34"/>
  <c r="O39" i="146"/>
  <c r="O55" i="146"/>
  <c r="O57" i="146"/>
  <c r="O64" i="146"/>
  <c r="O39" i="154"/>
  <c r="O55" i="154"/>
  <c r="O57" i="154"/>
  <c r="O60" i="154"/>
  <c r="N55" i="154"/>
  <c r="N57" i="154"/>
  <c r="D16" i="40"/>
  <c r="D27" i="40"/>
  <c r="C18" i="40"/>
  <c r="D18" i="40"/>
  <c r="O38" i="151"/>
  <c r="O55" i="151"/>
  <c r="N55" i="151"/>
  <c r="N57" i="151"/>
  <c r="O38" i="153"/>
  <c r="O55" i="153"/>
  <c r="N55" i="153"/>
  <c r="N57" i="153"/>
  <c r="O38" i="152"/>
  <c r="O55" i="152"/>
  <c r="N55" i="152"/>
  <c r="N57" i="152"/>
  <c r="I25" i="136"/>
  <c r="J25" i="136"/>
  <c r="C18" i="129"/>
  <c r="D18" i="129"/>
  <c r="D15" i="40"/>
  <c r="D14" i="40"/>
  <c r="O38" i="147"/>
  <c r="O55" i="147"/>
  <c r="N55" i="147"/>
  <c r="N57" i="147"/>
  <c r="O38" i="149"/>
  <c r="O55" i="149"/>
  <c r="N55" i="149"/>
  <c r="N57" i="149"/>
  <c r="O38" i="148"/>
  <c r="O55" i="148"/>
  <c r="N55" i="148"/>
  <c r="N57" i="148"/>
  <c r="D19" i="40"/>
  <c r="O38" i="145"/>
  <c r="O55" i="145"/>
  <c r="N55" i="145"/>
  <c r="N57" i="145"/>
  <c r="O38" i="144"/>
  <c r="O55" i="144"/>
  <c r="N55" i="144"/>
  <c r="N57" i="144"/>
  <c r="D18" i="136"/>
  <c r="D28" i="136"/>
  <c r="N28" i="136"/>
  <c r="O28" i="136"/>
  <c r="D14" i="130"/>
  <c r="D27" i="136"/>
  <c r="D14" i="139"/>
  <c r="D16" i="139"/>
  <c r="D15" i="139"/>
  <c r="D17" i="142"/>
  <c r="D19" i="142"/>
  <c r="D15" i="142"/>
  <c r="D16" i="142"/>
  <c r="D14" i="142"/>
  <c r="D15" i="129"/>
  <c r="D28" i="129"/>
  <c r="D19" i="129"/>
  <c r="D17" i="129"/>
  <c r="D16" i="129"/>
  <c r="D59" i="129"/>
  <c r="N59" i="129"/>
  <c r="O59" i="129"/>
  <c r="D19" i="141"/>
  <c r="D14" i="141"/>
  <c r="D15" i="141"/>
  <c r="D16" i="141"/>
  <c r="D17" i="141"/>
  <c r="D15" i="130"/>
  <c r="D16" i="130"/>
  <c r="D58" i="130"/>
  <c r="N58" i="130"/>
  <c r="O58" i="130"/>
  <c r="D14" i="138"/>
  <c r="D16" i="138"/>
  <c r="D15" i="138"/>
  <c r="D17" i="130"/>
  <c r="D18" i="142"/>
  <c r="D34" i="136"/>
  <c r="N34" i="136"/>
  <c r="L31" i="119"/>
  <c r="O31" i="119"/>
  <c r="N35" i="133"/>
  <c r="O35" i="133"/>
  <c r="O40" i="141"/>
  <c r="N42" i="130"/>
  <c r="O42" i="130"/>
  <c r="N39" i="136"/>
  <c r="O39" i="136"/>
  <c r="O22" i="37"/>
  <c r="O23" i="37"/>
  <c r="N23" i="37"/>
  <c r="D41" i="37"/>
  <c r="N41" i="37"/>
  <c r="O41" i="37"/>
  <c r="O21" i="126"/>
  <c r="N27" i="127"/>
  <c r="O37" i="140"/>
  <c r="O59" i="140"/>
  <c r="O61" i="140"/>
  <c r="N59" i="140"/>
  <c r="N61" i="140"/>
  <c r="L61" i="130"/>
  <c r="L63" i="130"/>
  <c r="O70" i="130"/>
  <c r="L59" i="127"/>
  <c r="L61" i="127"/>
  <c r="O69" i="127"/>
  <c r="L55" i="138"/>
  <c r="L57" i="138"/>
  <c r="O64" i="138"/>
  <c r="O29" i="139"/>
  <c r="O29" i="138"/>
  <c r="N38" i="128"/>
  <c r="O38" i="128"/>
  <c r="N34" i="130"/>
  <c r="O34" i="130"/>
  <c r="O39" i="128"/>
  <c r="D40" i="119"/>
  <c r="N40" i="119"/>
  <c r="O40" i="119"/>
  <c r="N43" i="129"/>
  <c r="O43" i="129"/>
  <c r="D39" i="119"/>
  <c r="N39" i="119"/>
  <c r="O39" i="119"/>
  <c r="N43" i="40"/>
  <c r="O43" i="40"/>
  <c r="O39" i="127"/>
  <c r="D37" i="136"/>
  <c r="N37" i="136"/>
  <c r="O37" i="136"/>
  <c r="L55" i="128"/>
  <c r="L57" i="128"/>
  <c r="O65" i="128"/>
  <c r="O38" i="37"/>
  <c r="N22" i="128"/>
  <c r="O22" i="128"/>
  <c r="L40" i="129"/>
  <c r="L62" i="129"/>
  <c r="L64" i="129"/>
  <c r="O71" i="129"/>
  <c r="D30" i="119"/>
  <c r="N30" i="119"/>
  <c r="O30" i="119"/>
  <c r="N35" i="40"/>
  <c r="O35" i="40"/>
  <c r="D41" i="126"/>
  <c r="N41" i="126"/>
  <c r="O41" i="126"/>
  <c r="O36" i="119"/>
  <c r="N35" i="129"/>
  <c r="O35" i="129"/>
  <c r="L33" i="100"/>
  <c r="M59" i="127"/>
  <c r="M61" i="127"/>
  <c r="L33" i="126"/>
  <c r="D32" i="126"/>
  <c r="N32" i="126"/>
  <c r="O32" i="126"/>
  <c r="D45" i="126"/>
  <c r="N45" i="126"/>
  <c r="O45" i="126"/>
  <c r="D29" i="119"/>
  <c r="N29" i="119"/>
  <c r="O29" i="119"/>
  <c r="L58" i="34"/>
  <c r="L60" i="34"/>
  <c r="O68" i="34"/>
  <c r="D42" i="126"/>
  <c r="N42" i="126"/>
  <c r="O42" i="126"/>
  <c r="O25" i="126"/>
  <c r="D37" i="130"/>
  <c r="N37" i="130"/>
  <c r="O37" i="130"/>
  <c r="N21" i="132"/>
  <c r="D37" i="132"/>
  <c r="N37" i="132"/>
  <c r="O37" i="132"/>
  <c r="D43" i="119"/>
  <c r="O43" i="119"/>
  <c r="N26" i="119"/>
  <c r="O26" i="119"/>
  <c r="D59" i="40"/>
  <c r="N59" i="40"/>
  <c r="O59" i="40"/>
  <c r="D42" i="119"/>
  <c r="O42" i="119"/>
  <c r="N25" i="119"/>
  <c r="O40" i="40"/>
  <c r="L62" i="40"/>
  <c r="L64" i="40"/>
  <c r="O71" i="40"/>
  <c r="D26" i="136"/>
  <c r="L55" i="136"/>
  <c r="L57" i="136"/>
  <c r="O64" i="136"/>
  <c r="L52" i="133"/>
  <c r="O60" i="133"/>
  <c r="O24" i="133"/>
  <c r="O36" i="133"/>
  <c r="M50" i="133"/>
  <c r="M52" i="133"/>
  <c r="N24" i="133"/>
  <c r="O21" i="132"/>
  <c r="O34" i="132"/>
  <c r="M47" i="132"/>
  <c r="M49" i="132"/>
  <c r="N27" i="131"/>
  <c r="D38" i="131"/>
  <c r="N38" i="131"/>
  <c r="O38" i="131"/>
  <c r="O40" i="131"/>
  <c r="M53" i="131"/>
  <c r="M55" i="131"/>
  <c r="L53" i="131"/>
  <c r="L55" i="131"/>
  <c r="O63" i="131"/>
  <c r="O27" i="131"/>
  <c r="O58" i="131"/>
  <c r="O39" i="130"/>
  <c r="D50" i="130"/>
  <c r="O50" i="130"/>
  <c r="N33" i="130"/>
  <c r="O43" i="130"/>
  <c r="D51" i="129"/>
  <c r="O51" i="129"/>
  <c r="N34" i="129"/>
  <c r="D38" i="129"/>
  <c r="N38" i="129"/>
  <c r="O38" i="129"/>
  <c r="O44" i="129"/>
  <c r="D38" i="40"/>
  <c r="N38" i="40"/>
  <c r="O38" i="40"/>
  <c r="N36" i="40"/>
  <c r="O36" i="40"/>
  <c r="N34" i="40"/>
  <c r="O34" i="40"/>
  <c r="D51" i="40"/>
  <c r="O51" i="40"/>
  <c r="O27" i="119"/>
  <c r="L34" i="37"/>
  <c r="L54" i="37"/>
  <c r="J34" i="37"/>
  <c r="O38" i="126"/>
  <c r="M55" i="126"/>
  <c r="O20" i="100"/>
  <c r="O21" i="100"/>
  <c r="N21" i="100"/>
  <c r="D30" i="100"/>
  <c r="O37" i="100"/>
  <c r="M54" i="100"/>
  <c r="O43" i="34"/>
  <c r="M60" i="34"/>
  <c r="O39" i="34"/>
  <c r="N27" i="34"/>
  <c r="O26" i="34"/>
  <c r="O27" i="34"/>
  <c r="O60" i="146"/>
  <c r="O62" i="146"/>
  <c r="D29" i="40"/>
  <c r="N29" i="40"/>
  <c r="O29" i="40"/>
  <c r="M45" i="129"/>
  <c r="O45" i="129"/>
  <c r="N28" i="129"/>
  <c r="O62" i="154"/>
  <c r="O64" i="154"/>
  <c r="O60" i="152"/>
  <c r="O57" i="152"/>
  <c r="O60" i="153"/>
  <c r="O57" i="153"/>
  <c r="O60" i="151"/>
  <c r="O57" i="151"/>
  <c r="O57" i="148"/>
  <c r="O60" i="148"/>
  <c r="O57" i="147"/>
  <c r="O60" i="147"/>
  <c r="O60" i="149"/>
  <c r="O57" i="149"/>
  <c r="O57" i="144"/>
  <c r="O60" i="144"/>
  <c r="O60" i="145"/>
  <c r="O57" i="145"/>
  <c r="D27" i="130"/>
  <c r="D29" i="129"/>
  <c r="N29" i="129"/>
  <c r="O29" i="129"/>
  <c r="N27" i="136"/>
  <c r="O27" i="136"/>
  <c r="M41" i="136"/>
  <c r="O41" i="136"/>
  <c r="I25" i="130"/>
  <c r="N25" i="130"/>
  <c r="O25" i="130"/>
  <c r="N47" i="40"/>
  <c r="O47" i="40"/>
  <c r="M45" i="40"/>
  <c r="O45" i="40"/>
  <c r="D29" i="142"/>
  <c r="N29" i="142"/>
  <c r="O29" i="142"/>
  <c r="D29" i="141"/>
  <c r="N29" i="141"/>
  <c r="O29" i="141"/>
  <c r="D18" i="130"/>
  <c r="D28" i="130"/>
  <c r="N28" i="130"/>
  <c r="O28" i="130"/>
  <c r="D26" i="130"/>
  <c r="D27" i="129"/>
  <c r="N28" i="40"/>
  <c r="D43" i="136"/>
  <c r="N43" i="136"/>
  <c r="O43" i="136"/>
  <c r="D28" i="142"/>
  <c r="D52" i="138"/>
  <c r="N52" i="138"/>
  <c r="O52" i="138"/>
  <c r="D24" i="138"/>
  <c r="N24" i="138"/>
  <c r="D53" i="141"/>
  <c r="N53" i="141"/>
  <c r="O53" i="141"/>
  <c r="D27" i="141"/>
  <c r="D52" i="139"/>
  <c r="N52" i="139"/>
  <c r="O52" i="139"/>
  <c r="D24" i="139"/>
  <c r="N24" i="139"/>
  <c r="D53" i="142"/>
  <c r="N53" i="142"/>
  <c r="O53" i="142"/>
  <c r="D27" i="142"/>
  <c r="D38" i="127"/>
  <c r="N38" i="127"/>
  <c r="O38" i="127"/>
  <c r="D36" i="127"/>
  <c r="N36" i="127"/>
  <c r="O36" i="127"/>
  <c r="D51" i="127"/>
  <c r="N51" i="127"/>
  <c r="O51" i="127"/>
  <c r="N25" i="136"/>
  <c r="D47" i="129"/>
  <c r="N47" i="129"/>
  <c r="O47" i="129"/>
  <c r="O28" i="129"/>
  <c r="D48" i="127"/>
  <c r="N48" i="127"/>
  <c r="O48" i="127"/>
  <c r="L53" i="119"/>
  <c r="L55" i="119"/>
  <c r="D47" i="127"/>
  <c r="N47" i="127"/>
  <c r="O47" i="127"/>
  <c r="O66" i="140"/>
  <c r="O68" i="140"/>
  <c r="D30" i="132"/>
  <c r="N30" i="132"/>
  <c r="O30" i="132"/>
  <c r="L52" i="100"/>
  <c r="L54" i="100"/>
  <c r="O61" i="100"/>
  <c r="D43" i="131"/>
  <c r="N43" i="131"/>
  <c r="O43" i="131"/>
  <c r="O40" i="129"/>
  <c r="D45" i="37"/>
  <c r="N45" i="37"/>
  <c r="O45" i="37"/>
  <c r="D33" i="37"/>
  <c r="N33" i="37"/>
  <c r="O33" i="37"/>
  <c r="D44" i="131"/>
  <c r="N44" i="131"/>
  <c r="O44" i="131"/>
  <c r="O33" i="100"/>
  <c r="D42" i="37"/>
  <c r="N42" i="37"/>
  <c r="O42" i="37"/>
  <c r="O23" i="128"/>
  <c r="N23" i="128"/>
  <c r="L53" i="126"/>
  <c r="L55" i="126"/>
  <c r="O63" i="126"/>
  <c r="O33" i="126"/>
  <c r="O53" i="126"/>
  <c r="O55" i="126"/>
  <c r="O62" i="126"/>
  <c r="N53" i="126"/>
  <c r="N55" i="126"/>
  <c r="D32" i="132"/>
  <c r="N32" i="132"/>
  <c r="O32" i="132"/>
  <c r="D40" i="132"/>
  <c r="N40" i="132"/>
  <c r="O40" i="132"/>
  <c r="O25" i="119"/>
  <c r="O53" i="119"/>
  <c r="O55" i="119"/>
  <c r="N53" i="119"/>
  <c r="N55" i="119"/>
  <c r="D38" i="132"/>
  <c r="N38" i="132"/>
  <c r="O38" i="132"/>
  <c r="O34" i="136"/>
  <c r="D34" i="133"/>
  <c r="N34" i="133"/>
  <c r="D40" i="133"/>
  <c r="N40" i="133"/>
  <c r="O40" i="133"/>
  <c r="D42" i="133"/>
  <c r="N42" i="133"/>
  <c r="O42" i="133"/>
  <c r="D39" i="133"/>
  <c r="N39" i="133"/>
  <c r="O39" i="133"/>
  <c r="L47" i="132"/>
  <c r="L49" i="132"/>
  <c r="O56" i="132"/>
  <c r="D46" i="131"/>
  <c r="N46" i="131"/>
  <c r="O46" i="131"/>
  <c r="D36" i="131"/>
  <c r="N36" i="131"/>
  <c r="O36" i="131"/>
  <c r="O33" i="130"/>
  <c r="O34" i="129"/>
  <c r="O34" i="37"/>
  <c r="L56" i="37"/>
  <c r="O64" i="37"/>
  <c r="D41" i="100"/>
  <c r="N41" i="100"/>
  <c r="O41" i="100"/>
  <c r="N30" i="100"/>
  <c r="D40" i="100"/>
  <c r="N40" i="100"/>
  <c r="O40" i="100"/>
  <c r="D44" i="100"/>
  <c r="N44" i="100"/>
  <c r="O44" i="100"/>
  <c r="D32" i="100"/>
  <c r="N32" i="100"/>
  <c r="O32" i="100"/>
  <c r="D50" i="34"/>
  <c r="N50" i="34"/>
  <c r="O50" i="34"/>
  <c r="D47" i="34"/>
  <c r="N47" i="34"/>
  <c r="O47" i="34"/>
  <c r="D46" i="34"/>
  <c r="N46" i="34"/>
  <c r="O46" i="34"/>
  <c r="D36" i="34"/>
  <c r="N36" i="34"/>
  <c r="D38" i="34"/>
  <c r="N38" i="34"/>
  <c r="O38" i="34"/>
  <c r="M44" i="130"/>
  <c r="N30" i="40"/>
  <c r="M62" i="129"/>
  <c r="M64" i="129"/>
  <c r="O62" i="151"/>
  <c r="O64" i="151"/>
  <c r="O62" i="153"/>
  <c r="O64" i="153"/>
  <c r="O62" i="152"/>
  <c r="O64" i="152"/>
  <c r="O64" i="149"/>
  <c r="O62" i="149"/>
  <c r="O64" i="147"/>
  <c r="O62" i="147"/>
  <c r="O64" i="148"/>
  <c r="O62" i="148"/>
  <c r="M55" i="136"/>
  <c r="M57" i="136"/>
  <c r="O64" i="145"/>
  <c r="O62" i="145"/>
  <c r="O62" i="144"/>
  <c r="O64" i="144"/>
  <c r="N27" i="130"/>
  <c r="O27" i="130"/>
  <c r="O29" i="130"/>
  <c r="D46" i="130"/>
  <c r="N46" i="130"/>
  <c r="O46" i="130"/>
  <c r="J25" i="130"/>
  <c r="N29" i="136"/>
  <c r="D44" i="136"/>
  <c r="D44" i="141"/>
  <c r="N44" i="141"/>
  <c r="O44" i="141"/>
  <c r="M42" i="141"/>
  <c r="D44" i="142"/>
  <c r="N44" i="142"/>
  <c r="O44" i="142"/>
  <c r="M42" i="142"/>
  <c r="M62" i="40"/>
  <c r="M64" i="40"/>
  <c r="O25" i="136"/>
  <c r="O29" i="136"/>
  <c r="O30" i="129"/>
  <c r="O28" i="40"/>
  <c r="O30" i="40"/>
  <c r="N28" i="142"/>
  <c r="O28" i="142"/>
  <c r="O30" i="142"/>
  <c r="O24" i="139"/>
  <c r="O25" i="139"/>
  <c r="N25" i="139"/>
  <c r="O24" i="138"/>
  <c r="O25" i="138"/>
  <c r="N25" i="138"/>
  <c r="N28" i="141"/>
  <c r="N30" i="129"/>
  <c r="N53" i="129"/>
  <c r="O53" i="129"/>
  <c r="O59" i="127"/>
  <c r="O61" i="127"/>
  <c r="O68" i="127"/>
  <c r="N59" i="127"/>
  <c r="N61" i="127"/>
  <c r="O58" i="119"/>
  <c r="O60" i="119"/>
  <c r="N54" i="37"/>
  <c r="N56" i="37"/>
  <c r="D33" i="128"/>
  <c r="N33" i="128"/>
  <c r="D43" i="128"/>
  <c r="N43" i="128"/>
  <c r="O43" i="128"/>
  <c r="D46" i="128"/>
  <c r="N46" i="128"/>
  <c r="O46" i="128"/>
  <c r="D42" i="128"/>
  <c r="N42" i="128"/>
  <c r="O42" i="128"/>
  <c r="N47" i="132"/>
  <c r="N49" i="132"/>
  <c r="O47" i="132"/>
  <c r="O49" i="132"/>
  <c r="O51" i="132"/>
  <c r="O58" i="126"/>
  <c r="O60" i="126"/>
  <c r="N58" i="34"/>
  <c r="N60" i="34"/>
  <c r="O54" i="37"/>
  <c r="O59" i="37"/>
  <c r="N52" i="100"/>
  <c r="N54" i="100"/>
  <c r="O34" i="133"/>
  <c r="O50" i="133"/>
  <c r="N50" i="133"/>
  <c r="N52" i="133"/>
  <c r="O53" i="131"/>
  <c r="O55" i="131"/>
  <c r="O62" i="131"/>
  <c r="N53" i="131"/>
  <c r="N55" i="131"/>
  <c r="O62" i="119"/>
  <c r="O30" i="100"/>
  <c r="O36" i="34"/>
  <c r="D48" i="40"/>
  <c r="D49" i="40"/>
  <c r="O44" i="130"/>
  <c r="M61" i="130"/>
  <c r="M63" i="130"/>
  <c r="D53" i="40"/>
  <c r="N48" i="40"/>
  <c r="O48" i="40"/>
  <c r="N53" i="40"/>
  <c r="O53" i="40"/>
  <c r="D39" i="40"/>
  <c r="N39" i="40"/>
  <c r="O39" i="40"/>
  <c r="N49" i="40"/>
  <c r="O49" i="40"/>
  <c r="N47" i="136"/>
  <c r="O47" i="136"/>
  <c r="N29" i="130"/>
  <c r="N48" i="130"/>
  <c r="O48" i="130"/>
  <c r="D38" i="136"/>
  <c r="N38" i="136"/>
  <c r="O38" i="136"/>
  <c r="D45" i="136"/>
  <c r="N44" i="136"/>
  <c r="O44" i="136"/>
  <c r="N45" i="136"/>
  <c r="O45" i="136"/>
  <c r="D47" i="136"/>
  <c r="O42" i="142"/>
  <c r="M56" i="142"/>
  <c r="M58" i="142"/>
  <c r="O42" i="141"/>
  <c r="M56" i="141"/>
  <c r="M58" i="141"/>
  <c r="N30" i="142"/>
  <c r="N46" i="142"/>
  <c r="O46" i="142"/>
  <c r="N41" i="138"/>
  <c r="O41" i="138"/>
  <c r="D42" i="138"/>
  <c r="D34" i="138"/>
  <c r="N34" i="138"/>
  <c r="D41" i="138"/>
  <c r="N42" i="138"/>
  <c r="O42" i="138"/>
  <c r="N46" i="138"/>
  <c r="O46" i="138"/>
  <c r="D46" i="138"/>
  <c r="D42" i="139"/>
  <c r="N46" i="139"/>
  <c r="O46" i="139"/>
  <c r="D41" i="139"/>
  <c r="D46" i="139"/>
  <c r="D34" i="139"/>
  <c r="N34" i="139"/>
  <c r="N41" i="139"/>
  <c r="O41" i="139"/>
  <c r="N42" i="139"/>
  <c r="O42" i="139"/>
  <c r="O28" i="141"/>
  <c r="O30" i="141"/>
  <c r="N30" i="141"/>
  <c r="D49" i="129"/>
  <c r="D48" i="129"/>
  <c r="D53" i="129"/>
  <c r="O66" i="127"/>
  <c r="D39" i="129"/>
  <c r="N39" i="129"/>
  <c r="O39" i="129"/>
  <c r="N49" i="129"/>
  <c r="O49" i="129"/>
  <c r="N48" i="129"/>
  <c r="O48" i="129"/>
  <c r="O53" i="132"/>
  <c r="O56" i="37"/>
  <c r="O61" i="37"/>
  <c r="O55" i="132"/>
  <c r="O33" i="128"/>
  <c r="O55" i="128"/>
  <c r="N55" i="128"/>
  <c r="N57" i="128"/>
  <c r="O58" i="34"/>
  <c r="O60" i="34"/>
  <c r="O55" i="133"/>
  <c r="O52" i="133"/>
  <c r="O60" i="131"/>
  <c r="O52" i="100"/>
  <c r="O54" i="100"/>
  <c r="O56" i="100"/>
  <c r="O62" i="40"/>
  <c r="O64" i="40"/>
  <c r="N62" i="40"/>
  <c r="N64" i="40"/>
  <c r="D52" i="130"/>
  <c r="N47" i="130"/>
  <c r="O47" i="130"/>
  <c r="D47" i="130"/>
  <c r="N52" i="130"/>
  <c r="O52" i="130"/>
  <c r="D38" i="130"/>
  <c r="N38" i="130"/>
  <c r="O38" i="130"/>
  <c r="D48" i="130"/>
  <c r="O55" i="136"/>
  <c r="O59" i="136"/>
  <c r="N55" i="136"/>
  <c r="N57" i="136"/>
  <c r="D39" i="142"/>
  <c r="N39" i="142"/>
  <c r="O39" i="142"/>
  <c r="D46" i="142"/>
  <c r="D48" i="142"/>
  <c r="N45" i="142"/>
  <c r="O45" i="142"/>
  <c r="D45" i="142"/>
  <c r="N48" i="142"/>
  <c r="O48" i="142"/>
  <c r="D39" i="141"/>
  <c r="N39" i="141"/>
  <c r="N48" i="141"/>
  <c r="O48" i="141"/>
  <c r="N46" i="141"/>
  <c r="O46" i="141"/>
  <c r="N45" i="141"/>
  <c r="O45" i="141"/>
  <c r="D48" i="141"/>
  <c r="D46" i="141"/>
  <c r="D45" i="141"/>
  <c r="O34" i="139"/>
  <c r="O55" i="139"/>
  <c r="N55" i="139"/>
  <c r="N57" i="139"/>
  <c r="O34" i="138"/>
  <c r="O55" i="138"/>
  <c r="N55" i="138"/>
  <c r="N57" i="138"/>
  <c r="O62" i="129"/>
  <c r="O64" i="129"/>
  <c r="N62" i="129"/>
  <c r="N64" i="129"/>
  <c r="O63" i="37"/>
  <c r="O60" i="128"/>
  <c r="O57" i="128"/>
  <c r="O67" i="34"/>
  <c r="O65" i="34"/>
  <c r="O57" i="133"/>
  <c r="O59" i="133"/>
  <c r="O60" i="100"/>
  <c r="O58" i="100"/>
  <c r="O66" i="40"/>
  <c r="O68" i="40"/>
  <c r="O70" i="40"/>
  <c r="O61" i="130"/>
  <c r="O63" i="130"/>
  <c r="N61" i="130"/>
  <c r="N63" i="130"/>
  <c r="O57" i="136"/>
  <c r="O61" i="136"/>
  <c r="O63" i="136"/>
  <c r="N56" i="142"/>
  <c r="N58" i="142"/>
  <c r="O56" i="142"/>
  <c r="O60" i="142"/>
  <c r="O57" i="138"/>
  <c r="O59" i="138"/>
  <c r="O39" i="141"/>
  <c r="O56" i="141"/>
  <c r="N56" i="141"/>
  <c r="N58" i="141"/>
  <c r="O59" i="139"/>
  <c r="O57" i="139"/>
  <c r="O66" i="129"/>
  <c r="O68" i="129"/>
  <c r="O70" i="129"/>
  <c r="O62" i="128"/>
  <c r="O64" i="128"/>
  <c r="O65" i="130"/>
  <c r="O67" i="130"/>
  <c r="O69" i="130"/>
  <c r="O58" i="142"/>
  <c r="O62" i="142"/>
  <c r="O64" i="142"/>
  <c r="O61" i="139"/>
  <c r="O63" i="139"/>
  <c r="O61" i="138"/>
  <c r="O63" i="138"/>
  <c r="O58" i="141"/>
  <c r="O60" i="141"/>
  <c r="O62" i="141"/>
  <c r="O64" i="1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<sst xmlns="http://schemas.openxmlformats.org/spreadsheetml/2006/main" count="4759" uniqueCount="342">
  <si>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</si>
  <si>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</si>
  <si>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</si>
  <si>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</si>
  <si>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</si>
  <si>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</si>
  <si>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</si>
  <si>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</si>
  <si>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</si>
  <si>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</si>
  <si>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</si>
  <si>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</si>
  <si>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</si>
  <si>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</si>
  <si>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</si>
  <si>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</si>
  <si>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</si>
  <si>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</si>
  <si>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</si>
  <si>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</si>
  <si>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</si>
  <si>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</si>
  <si>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</si>
  <si>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</si>
  <si>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</si>
  <si>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</si>
  <si>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</si>
  <si>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</si>
  <si>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</si>
  <si>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</si>
  <si>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</si>
  <si>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</si>
  <si>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</si>
  <si>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</si>
  <si>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</si>
  <si>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</si>
  <si>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</si>
  <si>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</si>
  <si>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</si>
  <si>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</si>
  <si>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</si>
  <si>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</si>
  <si>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</si>
  <si>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</si>
  <si>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</si>
  <si>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</si>
  <si>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</si>
  <si>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</si>
  <si>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</si>
  <si>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</si>
  <si>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</si>
  <si>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</si>
  <si>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</si>
  <si>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</si>
  <si>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</si>
  <si>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</si>
  <si>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</si>
  <si>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</si>
  <si>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</si>
  <si>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</si>
  <si>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</si>
  <si>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</si>
  <si>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</si>
  <si>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</si>
  <si>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</si>
  <si>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</si>
  <si>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</si>
  <si>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</si>
  <si>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</si>
  <si>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</si>
  <si>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</si>
  <si>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</si>
  <si>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</si>
  <si>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</si>
  <si>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</si>
  <si>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</si>
  <si>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</si>
  <si>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</si>
  <si>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</si>
  <si>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</si>
  <si>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</si>
  <si>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</si>
  <si>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</si>
  <si>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</si>
  <si>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</si>
  <si>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</si>
  <si>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</si>
  <si>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</si>
  <si>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</si>
  <si>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</si>
  <si>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</si>
  <si>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</si>
  <si>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</si>
  <si>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</si>
  <si>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</si>
  <si>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</si>
  <si>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</si>
  <si>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</si>
  <si>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</si>
  <si>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</si>
  <si>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</si>
  <si>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</si>
  <si>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</si>
  <si>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</si>
  <si>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</si>
  <si>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</si>
  <si>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</si>
  <si>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</si>
  <si>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</si>
  <si>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</si>
  <si>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</si>
  <si>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</si>
  <si>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</si>
  <si>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</si>
  <si>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</si>
  <si>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</si>
  <si>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</si>
  <si>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</si>
  <si>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</si>
  <si>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</si>
  <si>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</si>
  <si>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</si>
  <si>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</si>
  <si>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</si>
  <si>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</si>
  <si>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</si>
  <si>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</si>
  <si>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</si>
  <si>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</si>
  <si>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</si>
  <si>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</si>
  <si>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</si>
  <si>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</si>
  <si>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</si>
  <si>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</si>
  <si>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</si>
  <si>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</si>
  <si>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</si>
  <si>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</si>
  <si>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</si>
  <si>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</si>
  <si>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</si>
  <si>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</si>
  <si>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</si>
  <si>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</si>
  <si>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</si>
  <si>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</si>
  <si>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</si>
  <si>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</si>
  <si>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</si>
  <si>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</si>
  <si>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</si>
  <si>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</si>
  <si>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</si>
  <si>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</si>
  <si>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</si>
  <si>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</si>
  <si>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</si>
  <si>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</si>
  <si>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</si>
  <si>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</si>
  <si>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</si>
  <si>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</si>
  <si>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</si>
  <si>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</si>
  <si>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</si>
  <si>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</si>
  <si>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</si>
  <si>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</si>
  <si>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</si>
  <si>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</si>
  <si>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</si>
  <si>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</si>
  <si>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</si>
  <si>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</si>
  <si>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</si>
  <si>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</si>
  <si>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</si>
  <si>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</si>
  <si>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</si>
  <si>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</si>
  <si>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</si>
  <si>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</si>
  <si>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</si>
  <si>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</si>
  <si>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</si>
  <si>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</si>
  <si>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</si>
  <si>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</si>
  <si>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</si>
  <si>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</si>
  <si>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</si>
  <si>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</si>
  <si>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</si>
  <si>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</si>
  <si>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</si>
  <si>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</si>
  <si>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</si>
  <si>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</si>
  <si>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</si>
  <si>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</si>
  <si>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</si>
  <si>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</si>
  <si>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</si>
  <si>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</si>
  <si>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</si>
  <si>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</si>
  <si>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</si>
  <si>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</si>
  <si>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</si>
  <si>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</si>
  <si>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</si>
  <si>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</si>
  <si>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</si>
  <si>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</si>
  <si>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</si>
  <si>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</si>
  <si>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</si>
  <si>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</si>
  <si>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</si>
  <si>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</si>
  <si>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</si>
  <si>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</si>
  <si>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</si>
  <si>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</si>
  <si>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</si>
  <si>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</si>
  <si>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</si>
  <si>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</si>
  <si>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</si>
  <si>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</si>
  <si>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</si>
  <si>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</si>
  <si>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</si>
  <si>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</si>
  <si>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</si>
  <si>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</si>
  <si>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</si>
  <si>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</si>
  <si>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</si>
  <si>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</si>
  <si>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</si>
  <si>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</si>
  <si>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</si>
  <si>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</si>
  <si>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</si>
  <si>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</si>
  <si>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</si>
  <si>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</si>
  <si>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</si>
  <si>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</si>
  <si>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</si>
  <si>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</si>
  <si>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</si>
  <si>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</si>
  <si>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</si>
  <si>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</si>
  <si>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</si>
  <si>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</si>
  <si>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</si>
  <si>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</si>
  <si>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</si>
  <si>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</si>
  <si>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</si>
  <si>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</si>
  <si>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</si>
  <si>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</si>
  <si>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</si>
  <si>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</si>
  <si>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</si>
  <si>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</si>
  <si>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</si>
  <si>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</si>
  <si>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</si>
  <si>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</si>
  <si>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</si>
  <si>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</si>
  <si>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</si>
  <si>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</si>
  <si>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</si>
  <si>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</si>
  <si>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</si>
  <si>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</si>
  <si>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</si>
  <si>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</si>
  <si>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</si>
  <si>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</si>
  <si>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</si>
  <si>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</si>
  <si>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</si>
  <si>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</si>
  <si>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</si>
  <si>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</si>
  <si>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</si>
  <si>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</si>
  <si>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</si>
  <si>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</si>
  <si>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</si>
  <si>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</si>
  <si>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</si>
  <si>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</si>
  <si>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</si>
  <si>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</si>
  <si>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</si>
  <si>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</si>
  <si>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</si>
  <si>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</si>
  <si>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</si>
  <si>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</si>
  <si>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</si>
  <si>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</si>
  <si>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</si>
  <si>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</si>
  <si>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</si>
  <si>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</si>
  <si>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</si>
  <si>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</si>
  <si>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</si>
  <si>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</si>
  <si>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</si>
  <si>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</si>
  <si>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</si>
  <si>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</si>
  <si>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</si>
  <si>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</si>
  <si>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</si>
  <si>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</si>
  <si>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</si>
  <si>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</si>
  <si>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</si>
  <si>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</si>
  <si>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</si>
  <si>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</si>
  <si>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</si>
  <si>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</si>
  <si>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</si>
  <si>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</si>
  <si>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</si>
  <si>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</si>
  <si>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</si>
  <si>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te</t>
  </si>
  <si>
    <t>Revised 3/31/2025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</si>
</sst>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3">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1" fillId="0" borderId="0" xfId="10" applyNumberFormat="1" applyFont="1" applyFill="1" applyBorder="1" applyAlignment="1">
      <alignment horizontal="center" vertical="center"/>
    </xf>
    <xf numFmtId="175" fontId="0" fillId="0" borderId="0" xfId="10" applyNumberFormat="1" applyFont="1" applyFill="1" applyBorder="1" applyAlignment="1">
      <alignment horizontal="center" vertical="center"/>
    </xf>
    <xf numFmtId="175" fontId="0" fillId="0" borderId="0" xfId="0" applyNumberFormat="1" applyFill="1" applyBorder="1" applyAlignment="1">
      <alignment horizontal="center" vertical="center"/>
    </xf>
    <xf numFmtId="7" fontId="2" fillId="0" borderId="0" xfId="0" applyNumberFormat="1" applyFont="1" applyFill="1" applyBorder="1" applyAlignment="1">
      <alignment horizontal="center"/>
    </xf>
    <xf numFmtId="44" fontId="1" fillId="0" borderId="0" xfId="10" applyNumberFormat="1" applyFont="1" applyFill="1" applyBorder="1" applyAlignment="1">
      <alignment horizontal="center" vertic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65" fontId="2" fillId="0" borderId="0" xfId="21" applyNumberFormat="1" applyFont="1" applyFill="1" applyBorder="1" applyAlignment="1">
      <alignment horizontal="center"/>
    </xf>
    <xf numFmtId="183" fontId="0" fillId="0" borderId="0" xfId="0" applyNumberFormat="1" applyBorder="1"/>
    <xf numFmtId="44" fontId="1" fillId="0" borderId="0" xfId="10" applyFill="1" applyBorder="1"/>
    <xf numFmtId="175" fontId="0" fillId="0" borderId="0" xfId="10" applyNumberFormat="1" applyFont="1" applyFill="1" applyBorder="1"/>
    <xf numFmtId="165" fontId="42" fillId="0" borderId="0" xfId="22" applyNumberFormat="1" applyFill="1" applyBorder="1"/>
    <xf numFmtId="175" fontId="1" fillId="0" borderId="1" xfId="31" applyNumberFormat="1" applyFill="1" applyBorder="1"/>
    <xf numFmtId="175" fontId="1" fillId="0" borderId="1" xfId="31" applyNumberFormat="1" applyFont="1" applyFill="1" applyBorder="1"/>
    <xf numFmtId="175" fontId="1" fillId="0" borderId="1" xfId="10" applyNumberFormat="1" applyFont="1" applyFill="1" applyBorder="1"/>
    <xf numFmtId="174" fontId="0" fillId="0" borderId="1" xfId="31" applyNumberFormat="1" applyFont="1" applyFill="1" applyBorder="1"/>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CheckBox" checked="Checked" fmlaLink="E4" lockText="1" noThreeD="1"/>
</file>

<file path=xl/ctrlProps/ctrlProp573.xml><?xml version="1.0" encoding="utf-8"?>
<formControlPr xmlns="http://schemas.microsoft.com/office/spreadsheetml/2009/9/main" objectType="CheckBox" checked="Checked" fmlaLink="E5" lockText="1" noThreeD="1"/>
</file>

<file path=xl/ctrlProps/ctrlProp574.xml><?xml version="1.0" encoding="utf-8"?>
<formControlPr xmlns="http://schemas.microsoft.com/office/spreadsheetml/2009/9/main" objectType="CheckBox" checked="Checked" fmlaLink="E7" lockText="1" noThreeD="1"/>
</file>

<file path=xl/ctrlProps/ctrlProp575.xml><?xml version="1.0" encoding="utf-8"?>
<formControlPr xmlns="http://schemas.microsoft.com/office/spreadsheetml/2009/9/main" objectType="CheckBox" checked="Checked" fmlaLink="E8" lockText="1" noThreeD="1"/>
</file>

<file path=xl/ctrlProps/ctrlProp576.xml><?xml version="1.0" encoding="utf-8"?>
<formControlPr xmlns="http://schemas.microsoft.com/office/spreadsheetml/2009/9/main" objectType="CheckBox" checked="Checked" fmlaLink="E11" lockText="1" noThreeD="1"/>
</file>

<file path=xl/ctrlProps/ctrlProp577.xml><?xml version="1.0" encoding="utf-8"?>
<formControlPr xmlns="http://schemas.microsoft.com/office/spreadsheetml/2009/9/main" objectType="CheckBox" checked="Checked" fmlaLink="E12" lockText="1" noThreeD="1"/>
</file>

<file path=xl/ctrlProps/ctrlProp578.xml><?xml version="1.0" encoding="utf-8"?>
<formControlPr xmlns="http://schemas.microsoft.com/office/spreadsheetml/2009/9/main" objectType="CheckBox" checked="Checked" fmlaLink="E13" lockText="1" noThreeD="1"/>
</file>

<file path=xl/ctrlProps/ctrlProp579.xml><?xml version="1.0" encoding="utf-8"?>
<formControlPr xmlns="http://schemas.microsoft.com/office/spreadsheetml/2009/9/main" objectType="CheckBox" checked="Checked" fmlaLink="E14" lockText="1" noThreeD="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CheckBox" checked="Checked" fmlaLink="E15" lockText="1" noThreeD="1"/>
</file>

<file path=xl/ctrlProps/ctrlProp581.xml><?xml version="1.0" encoding="utf-8"?>
<formControlPr xmlns="http://schemas.microsoft.com/office/spreadsheetml/2009/9/main" objectType="CheckBox" checked="Checked" fmlaLink="E16" lockText="1" noThreeD="1"/>
</file>

<file path=xl/ctrlProps/ctrlProp582.xml><?xml version="1.0" encoding="utf-8"?>
<formControlPr xmlns="http://schemas.microsoft.com/office/spreadsheetml/2009/9/main" objectType="CheckBox" checked="Checked" fmlaLink="E17" lockText="1" noThreeD="1"/>
</file>

<file path=xl/ctrlProps/ctrlProp583.xml><?xml version="1.0" encoding="utf-8"?>
<formControlPr xmlns="http://schemas.microsoft.com/office/spreadsheetml/2009/9/main" objectType="CheckBox" checked="Checked" fmlaLink="E18" lockText="1" noThreeD="1"/>
</file>

<file path=xl/ctrlProps/ctrlProp584.xml><?xml version="1.0" encoding="utf-8"?>
<formControlPr xmlns="http://schemas.microsoft.com/office/spreadsheetml/2009/9/main" objectType="CheckBox" checked="Checked" fmlaLink="E19" lockText="1" noThreeD="1"/>
</file>

<file path=xl/ctrlProps/ctrlProp585.xml><?xml version="1.0" encoding="utf-8"?>
<formControlPr xmlns="http://schemas.microsoft.com/office/spreadsheetml/2009/9/main" objectType="CheckBox" checked="Checked" fmlaLink="E20" lockText="1" noThreeD="1"/>
</file>

<file path=xl/ctrlProps/ctrlProp586.xml><?xml version="1.0" encoding="utf-8"?>
<formControlPr xmlns="http://schemas.microsoft.com/office/spreadsheetml/2009/9/main" objectType="CheckBox" checked="Checked" fmlaLink="E21" lockText="1" noThreeD="1"/>
</file>

<file path=xl/ctrlProps/ctrlProp587.xml><?xml version="1.0" encoding="utf-8"?>
<formControlPr xmlns="http://schemas.microsoft.com/office/spreadsheetml/2009/9/main" objectType="CheckBox" checked="Checked" fmlaLink="E22" lockText="1" noThreeD="1"/>
</file>

<file path=xl/ctrlProps/ctrlProp588.xml><?xml version="1.0" encoding="utf-8"?>
<formControlPr xmlns="http://schemas.microsoft.com/office/spreadsheetml/2009/9/main" objectType="CheckBox" checked="Checked" fmlaLink="E23" lockText="1" noThreeD="1"/>
</file>

<file path=xl/ctrlProps/ctrlProp589.xml><?xml version="1.0" encoding="utf-8"?>
<formControlPr xmlns="http://schemas.microsoft.com/office/spreadsheetml/2009/9/main" objectType="CheckBox" checked="Checked" fmlaLink="E24" lockText="1" noThreeD="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CheckBox" checked="Checked" fmlaLink="E25" lockText="1" noThreeD="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50800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1022350</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1022350</xdr:colOff>
          <xdr:row>15</xdr:row>
          <xdr:rowOff>107950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1022350</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1022350</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165100</xdr:colOff>
          <xdr:row>33</xdr:row>
          <xdr:rowOff>69850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908050</xdr:colOff>
          <xdr:row>34</xdr:row>
          <xdr:rowOff>31750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4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4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5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5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5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6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6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6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6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6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7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7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7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7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7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7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8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8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8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8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8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8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9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9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9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9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9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9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9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9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9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9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9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9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9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9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9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9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9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9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9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9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9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9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9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9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9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9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9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9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9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9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9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9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9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9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9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9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9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9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9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9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9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9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9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9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9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9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9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9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9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9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9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9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9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9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9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9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9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9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A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A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A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A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A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A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A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A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A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A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A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A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A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A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A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A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A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A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A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A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A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A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A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A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A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A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A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A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A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A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A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A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A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A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A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A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A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A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A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A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A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A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A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A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A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A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A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A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A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A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A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A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A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A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A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A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A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A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B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B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B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B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B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B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B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B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B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B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B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B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B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B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B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B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B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B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B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B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B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B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B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B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B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B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B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B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B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B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B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B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B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B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B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B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B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B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B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B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B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B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B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B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B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B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B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B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B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B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B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B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B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B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B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B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B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B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1C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1C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1C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1C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1C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1C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1D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1D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1D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1D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1D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1D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1E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1E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1E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1E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1E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1E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7.bin"/><Relationship Id="rId5" Type="http://schemas.openxmlformats.org/officeDocument/2006/relationships/ctrlProp" Target="../ctrlProps/ctrlProp359.xml"/><Relationship Id="rId4" Type="http://schemas.openxmlformats.org/officeDocument/2006/relationships/ctrlProp" Target="../ctrlProps/ctrlProp35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8.bin"/><Relationship Id="rId6" Type="http://schemas.openxmlformats.org/officeDocument/2006/relationships/ctrlProp" Target="../ctrlProps/ctrlProp362.xml"/><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363.xml"/><Relationship Id="rId7" Type="http://schemas.openxmlformats.org/officeDocument/2006/relationships/ctrlProp" Target="../ctrlProps/ctrlProp367.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366.xml"/><Relationship Id="rId5" Type="http://schemas.openxmlformats.org/officeDocument/2006/relationships/ctrlProp" Target="../ctrlProps/ctrlProp365.xml"/><Relationship Id="rId4" Type="http://schemas.openxmlformats.org/officeDocument/2006/relationships/ctrlProp" Target="../ctrlProps/ctrlProp36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2.xml"/><Relationship Id="rId3" Type="http://schemas.openxmlformats.org/officeDocument/2006/relationships/vmlDrawing" Target="../drawings/vmlDrawing23.vml"/><Relationship Id="rId7" Type="http://schemas.openxmlformats.org/officeDocument/2006/relationships/ctrlProp" Target="../ctrlProps/ctrlProp371.xml"/><Relationship Id="rId2" Type="http://schemas.openxmlformats.org/officeDocument/2006/relationships/drawing" Target="../drawings/drawing23.xml"/><Relationship Id="rId1" Type="http://schemas.openxmlformats.org/officeDocument/2006/relationships/printerSettings" Target="../printerSettings/printerSettings19.bin"/><Relationship Id="rId6" Type="http://schemas.openxmlformats.org/officeDocument/2006/relationships/ctrlProp" Target="../ctrlProps/ctrlProp370.xml"/><Relationship Id="rId5" Type="http://schemas.openxmlformats.org/officeDocument/2006/relationships/ctrlProp" Target="../ctrlProps/ctrlProp369.xml"/><Relationship Id="rId4" Type="http://schemas.openxmlformats.org/officeDocument/2006/relationships/ctrlProp" Target="../ctrlProps/ctrlProp368.xml"/><Relationship Id="rId9" Type="http://schemas.openxmlformats.org/officeDocument/2006/relationships/ctrlProp" Target="../ctrlProps/ctrlProp37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24.vml"/><Relationship Id="rId7" Type="http://schemas.openxmlformats.org/officeDocument/2006/relationships/ctrlProp" Target="../ctrlProps/ctrlProp377.xml"/><Relationship Id="rId2" Type="http://schemas.openxmlformats.org/officeDocument/2006/relationships/drawing" Target="../drawings/drawing24.xml"/><Relationship Id="rId1" Type="http://schemas.openxmlformats.org/officeDocument/2006/relationships/printerSettings" Target="../printerSettings/printerSettings20.bin"/><Relationship Id="rId6" Type="http://schemas.openxmlformats.org/officeDocument/2006/relationships/ctrlProp" Target="../ctrlProps/ctrlProp376.xml"/><Relationship Id="rId5" Type="http://schemas.openxmlformats.org/officeDocument/2006/relationships/ctrlProp" Target="../ctrlProps/ctrlProp375.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2" Type="http://schemas.openxmlformats.org/officeDocument/2006/relationships/drawing" Target="../drawings/drawing25.xml"/><Relationship Id="rId16" Type="http://schemas.openxmlformats.org/officeDocument/2006/relationships/ctrlProp" Target="../ctrlProps/ctrlProp392.xml"/><Relationship Id="rId29" Type="http://schemas.openxmlformats.org/officeDocument/2006/relationships/ctrlProp" Target="../ctrlProps/ctrlProp405.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trlProp" Target="../ctrlProps/ctrlProp434.xml"/><Relationship Id="rId5" Type="http://schemas.openxmlformats.org/officeDocument/2006/relationships/ctrlProp" Target="../ctrlProps/ctrlProp381.xml"/><Relationship Id="rId61" Type="http://schemas.openxmlformats.org/officeDocument/2006/relationships/ctrlProp" Target="../ctrlProps/ctrlProp437.xml"/><Relationship Id="rId19" Type="http://schemas.openxmlformats.org/officeDocument/2006/relationships/ctrlProp" Target="../ctrlProps/ctrlProp39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25.v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59" Type="http://schemas.openxmlformats.org/officeDocument/2006/relationships/ctrlProp" Target="../ctrlProps/ctrlProp435.xml"/><Relationship Id="rId20" Type="http://schemas.openxmlformats.org/officeDocument/2006/relationships/ctrlProp" Target="../ctrlProps/ctrlProp396.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21.bin"/><Relationship Id="rId6" Type="http://schemas.openxmlformats.org/officeDocument/2006/relationships/ctrlProp" Target="../ctrlProps/ctrlProp382.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60" Type="http://schemas.openxmlformats.org/officeDocument/2006/relationships/ctrlProp" Target="../ctrlProps/ctrlProp436.xml"/><Relationship Id="rId4" Type="http://schemas.openxmlformats.org/officeDocument/2006/relationships/ctrlProp" Target="../ctrlProps/ctrlProp380.xml"/><Relationship Id="rId9" Type="http://schemas.openxmlformats.org/officeDocument/2006/relationships/ctrlProp" Target="../ctrlProps/ctrlProp38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7.xml"/><Relationship Id="rId18" Type="http://schemas.openxmlformats.org/officeDocument/2006/relationships/ctrlProp" Target="../ctrlProps/ctrlProp452.xml"/><Relationship Id="rId26" Type="http://schemas.openxmlformats.org/officeDocument/2006/relationships/ctrlProp" Target="../ctrlProps/ctrlProp460.xml"/><Relationship Id="rId39" Type="http://schemas.openxmlformats.org/officeDocument/2006/relationships/ctrlProp" Target="../ctrlProps/ctrlProp473.xml"/><Relationship Id="rId21" Type="http://schemas.openxmlformats.org/officeDocument/2006/relationships/ctrlProp" Target="../ctrlProps/ctrlProp455.xml"/><Relationship Id="rId34" Type="http://schemas.openxmlformats.org/officeDocument/2006/relationships/ctrlProp" Target="../ctrlProps/ctrlProp468.xml"/><Relationship Id="rId42" Type="http://schemas.openxmlformats.org/officeDocument/2006/relationships/ctrlProp" Target="../ctrlProps/ctrlProp476.xml"/><Relationship Id="rId47" Type="http://schemas.openxmlformats.org/officeDocument/2006/relationships/ctrlProp" Target="../ctrlProps/ctrlProp481.xml"/><Relationship Id="rId50" Type="http://schemas.openxmlformats.org/officeDocument/2006/relationships/ctrlProp" Target="../ctrlProps/ctrlProp484.xml"/><Relationship Id="rId55" Type="http://schemas.openxmlformats.org/officeDocument/2006/relationships/ctrlProp" Target="../ctrlProps/ctrlProp489.xml"/><Relationship Id="rId7" Type="http://schemas.openxmlformats.org/officeDocument/2006/relationships/ctrlProp" Target="../ctrlProps/ctrlProp441.xml"/><Relationship Id="rId2" Type="http://schemas.openxmlformats.org/officeDocument/2006/relationships/drawing" Target="../drawings/drawing26.xml"/><Relationship Id="rId16" Type="http://schemas.openxmlformats.org/officeDocument/2006/relationships/ctrlProp" Target="../ctrlProps/ctrlProp450.xml"/><Relationship Id="rId29" Type="http://schemas.openxmlformats.org/officeDocument/2006/relationships/ctrlProp" Target="../ctrlProps/ctrlProp463.xml"/><Relationship Id="rId11" Type="http://schemas.openxmlformats.org/officeDocument/2006/relationships/ctrlProp" Target="../ctrlProps/ctrlProp445.xml"/><Relationship Id="rId24" Type="http://schemas.openxmlformats.org/officeDocument/2006/relationships/ctrlProp" Target="../ctrlProps/ctrlProp458.xml"/><Relationship Id="rId32" Type="http://schemas.openxmlformats.org/officeDocument/2006/relationships/ctrlProp" Target="../ctrlProps/ctrlProp466.xml"/><Relationship Id="rId37" Type="http://schemas.openxmlformats.org/officeDocument/2006/relationships/ctrlProp" Target="../ctrlProps/ctrlProp471.xml"/><Relationship Id="rId40" Type="http://schemas.openxmlformats.org/officeDocument/2006/relationships/ctrlProp" Target="../ctrlProps/ctrlProp474.xml"/><Relationship Id="rId45" Type="http://schemas.openxmlformats.org/officeDocument/2006/relationships/ctrlProp" Target="../ctrlProps/ctrlProp479.xml"/><Relationship Id="rId53" Type="http://schemas.openxmlformats.org/officeDocument/2006/relationships/ctrlProp" Target="../ctrlProps/ctrlProp487.xml"/><Relationship Id="rId58" Type="http://schemas.openxmlformats.org/officeDocument/2006/relationships/ctrlProp" Target="../ctrlProps/ctrlProp492.xml"/><Relationship Id="rId5" Type="http://schemas.openxmlformats.org/officeDocument/2006/relationships/ctrlProp" Target="../ctrlProps/ctrlProp439.xml"/><Relationship Id="rId61" Type="http://schemas.openxmlformats.org/officeDocument/2006/relationships/ctrlProp" Target="../ctrlProps/ctrlProp495.xml"/><Relationship Id="rId19" Type="http://schemas.openxmlformats.org/officeDocument/2006/relationships/ctrlProp" Target="../ctrlProps/ctrlProp453.xml"/><Relationship Id="rId14" Type="http://schemas.openxmlformats.org/officeDocument/2006/relationships/ctrlProp" Target="../ctrlProps/ctrlProp448.xml"/><Relationship Id="rId22" Type="http://schemas.openxmlformats.org/officeDocument/2006/relationships/ctrlProp" Target="../ctrlProps/ctrlProp456.xml"/><Relationship Id="rId27" Type="http://schemas.openxmlformats.org/officeDocument/2006/relationships/ctrlProp" Target="../ctrlProps/ctrlProp461.xml"/><Relationship Id="rId30" Type="http://schemas.openxmlformats.org/officeDocument/2006/relationships/ctrlProp" Target="../ctrlProps/ctrlProp464.xml"/><Relationship Id="rId35" Type="http://schemas.openxmlformats.org/officeDocument/2006/relationships/ctrlProp" Target="../ctrlProps/ctrlProp469.xml"/><Relationship Id="rId43" Type="http://schemas.openxmlformats.org/officeDocument/2006/relationships/ctrlProp" Target="../ctrlProps/ctrlProp477.xml"/><Relationship Id="rId48" Type="http://schemas.openxmlformats.org/officeDocument/2006/relationships/ctrlProp" Target="../ctrlProps/ctrlProp482.xml"/><Relationship Id="rId56" Type="http://schemas.openxmlformats.org/officeDocument/2006/relationships/ctrlProp" Target="../ctrlProps/ctrlProp490.xml"/><Relationship Id="rId8" Type="http://schemas.openxmlformats.org/officeDocument/2006/relationships/ctrlProp" Target="../ctrlProps/ctrlProp442.xml"/><Relationship Id="rId51" Type="http://schemas.openxmlformats.org/officeDocument/2006/relationships/ctrlProp" Target="../ctrlProps/ctrlProp485.xml"/><Relationship Id="rId3" Type="http://schemas.openxmlformats.org/officeDocument/2006/relationships/vmlDrawing" Target="../drawings/vmlDrawing2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1" Type="http://schemas.openxmlformats.org/officeDocument/2006/relationships/printerSettings" Target="../printerSettings/printerSettings22.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4" Type="http://schemas.openxmlformats.org/officeDocument/2006/relationships/ctrlProp" Target="../ctrlProps/ctrlProp438.xml"/><Relationship Id="rId9" Type="http://schemas.openxmlformats.org/officeDocument/2006/relationships/ctrlProp" Target="../ctrlProps/ctrlProp44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505.xml"/><Relationship Id="rId18" Type="http://schemas.openxmlformats.org/officeDocument/2006/relationships/ctrlProp" Target="../ctrlProps/ctrlProp510.xml"/><Relationship Id="rId26" Type="http://schemas.openxmlformats.org/officeDocument/2006/relationships/ctrlProp" Target="../ctrlProps/ctrlProp518.xml"/><Relationship Id="rId39" Type="http://schemas.openxmlformats.org/officeDocument/2006/relationships/ctrlProp" Target="../ctrlProps/ctrlProp531.xml"/><Relationship Id="rId21" Type="http://schemas.openxmlformats.org/officeDocument/2006/relationships/ctrlProp" Target="../ctrlProps/ctrlProp513.xml"/><Relationship Id="rId34" Type="http://schemas.openxmlformats.org/officeDocument/2006/relationships/ctrlProp" Target="../ctrlProps/ctrlProp526.xml"/><Relationship Id="rId42" Type="http://schemas.openxmlformats.org/officeDocument/2006/relationships/ctrlProp" Target="../ctrlProps/ctrlProp534.xml"/><Relationship Id="rId47" Type="http://schemas.openxmlformats.org/officeDocument/2006/relationships/ctrlProp" Target="../ctrlProps/ctrlProp539.xml"/><Relationship Id="rId50" Type="http://schemas.openxmlformats.org/officeDocument/2006/relationships/ctrlProp" Target="../ctrlProps/ctrlProp542.xml"/><Relationship Id="rId55" Type="http://schemas.openxmlformats.org/officeDocument/2006/relationships/ctrlProp" Target="../ctrlProps/ctrlProp547.xml"/><Relationship Id="rId7" Type="http://schemas.openxmlformats.org/officeDocument/2006/relationships/ctrlProp" Target="../ctrlProps/ctrlProp499.xml"/><Relationship Id="rId2" Type="http://schemas.openxmlformats.org/officeDocument/2006/relationships/drawing" Target="../drawings/drawing27.xml"/><Relationship Id="rId16" Type="http://schemas.openxmlformats.org/officeDocument/2006/relationships/ctrlProp" Target="../ctrlProps/ctrlProp508.xml"/><Relationship Id="rId29" Type="http://schemas.openxmlformats.org/officeDocument/2006/relationships/ctrlProp" Target="../ctrlProps/ctrlProp521.xml"/><Relationship Id="rId11" Type="http://schemas.openxmlformats.org/officeDocument/2006/relationships/ctrlProp" Target="../ctrlProps/ctrlProp503.xml"/><Relationship Id="rId24" Type="http://schemas.openxmlformats.org/officeDocument/2006/relationships/ctrlProp" Target="../ctrlProps/ctrlProp516.xml"/><Relationship Id="rId32" Type="http://schemas.openxmlformats.org/officeDocument/2006/relationships/ctrlProp" Target="../ctrlProps/ctrlProp524.xml"/><Relationship Id="rId37" Type="http://schemas.openxmlformats.org/officeDocument/2006/relationships/ctrlProp" Target="../ctrlProps/ctrlProp529.xml"/><Relationship Id="rId40" Type="http://schemas.openxmlformats.org/officeDocument/2006/relationships/ctrlProp" Target="../ctrlProps/ctrlProp532.xml"/><Relationship Id="rId45" Type="http://schemas.openxmlformats.org/officeDocument/2006/relationships/ctrlProp" Target="../ctrlProps/ctrlProp537.xml"/><Relationship Id="rId53" Type="http://schemas.openxmlformats.org/officeDocument/2006/relationships/ctrlProp" Target="../ctrlProps/ctrlProp545.xml"/><Relationship Id="rId58" Type="http://schemas.openxmlformats.org/officeDocument/2006/relationships/ctrlProp" Target="../ctrlProps/ctrlProp550.xml"/><Relationship Id="rId5" Type="http://schemas.openxmlformats.org/officeDocument/2006/relationships/ctrlProp" Target="../ctrlProps/ctrlProp497.xml"/><Relationship Id="rId61" Type="http://schemas.openxmlformats.org/officeDocument/2006/relationships/ctrlProp" Target="../ctrlProps/ctrlProp553.xml"/><Relationship Id="rId19" Type="http://schemas.openxmlformats.org/officeDocument/2006/relationships/ctrlProp" Target="../ctrlProps/ctrlProp511.xml"/><Relationship Id="rId14" Type="http://schemas.openxmlformats.org/officeDocument/2006/relationships/ctrlProp" Target="../ctrlProps/ctrlProp506.xml"/><Relationship Id="rId22" Type="http://schemas.openxmlformats.org/officeDocument/2006/relationships/ctrlProp" Target="../ctrlProps/ctrlProp514.xml"/><Relationship Id="rId27" Type="http://schemas.openxmlformats.org/officeDocument/2006/relationships/ctrlProp" Target="../ctrlProps/ctrlProp519.xml"/><Relationship Id="rId30" Type="http://schemas.openxmlformats.org/officeDocument/2006/relationships/ctrlProp" Target="../ctrlProps/ctrlProp522.xml"/><Relationship Id="rId35" Type="http://schemas.openxmlformats.org/officeDocument/2006/relationships/ctrlProp" Target="../ctrlProps/ctrlProp527.xml"/><Relationship Id="rId43" Type="http://schemas.openxmlformats.org/officeDocument/2006/relationships/ctrlProp" Target="../ctrlProps/ctrlProp535.xml"/><Relationship Id="rId48" Type="http://schemas.openxmlformats.org/officeDocument/2006/relationships/ctrlProp" Target="../ctrlProps/ctrlProp540.xml"/><Relationship Id="rId56" Type="http://schemas.openxmlformats.org/officeDocument/2006/relationships/ctrlProp" Target="../ctrlProps/ctrlProp548.xml"/><Relationship Id="rId8" Type="http://schemas.openxmlformats.org/officeDocument/2006/relationships/ctrlProp" Target="../ctrlProps/ctrlProp500.xml"/><Relationship Id="rId51" Type="http://schemas.openxmlformats.org/officeDocument/2006/relationships/ctrlProp" Target="../ctrlProps/ctrlProp543.xml"/><Relationship Id="rId3" Type="http://schemas.openxmlformats.org/officeDocument/2006/relationships/vmlDrawing" Target="../drawings/vmlDrawing27.vml"/><Relationship Id="rId12" Type="http://schemas.openxmlformats.org/officeDocument/2006/relationships/ctrlProp" Target="../ctrlProps/ctrlProp504.xml"/><Relationship Id="rId17" Type="http://schemas.openxmlformats.org/officeDocument/2006/relationships/ctrlProp" Target="../ctrlProps/ctrlProp509.xml"/><Relationship Id="rId25" Type="http://schemas.openxmlformats.org/officeDocument/2006/relationships/ctrlProp" Target="../ctrlProps/ctrlProp517.xml"/><Relationship Id="rId33" Type="http://schemas.openxmlformats.org/officeDocument/2006/relationships/ctrlProp" Target="../ctrlProps/ctrlProp525.xml"/><Relationship Id="rId38" Type="http://schemas.openxmlformats.org/officeDocument/2006/relationships/ctrlProp" Target="../ctrlProps/ctrlProp530.xml"/><Relationship Id="rId46" Type="http://schemas.openxmlformats.org/officeDocument/2006/relationships/ctrlProp" Target="../ctrlProps/ctrlProp538.xml"/><Relationship Id="rId59" Type="http://schemas.openxmlformats.org/officeDocument/2006/relationships/ctrlProp" Target="../ctrlProps/ctrlProp551.xml"/><Relationship Id="rId20" Type="http://schemas.openxmlformats.org/officeDocument/2006/relationships/ctrlProp" Target="../ctrlProps/ctrlProp512.xml"/><Relationship Id="rId41" Type="http://schemas.openxmlformats.org/officeDocument/2006/relationships/ctrlProp" Target="../ctrlProps/ctrlProp533.xml"/><Relationship Id="rId54" Type="http://schemas.openxmlformats.org/officeDocument/2006/relationships/ctrlProp" Target="../ctrlProps/ctrlProp546.xml"/><Relationship Id="rId1" Type="http://schemas.openxmlformats.org/officeDocument/2006/relationships/printerSettings" Target="../printerSettings/printerSettings23.bin"/><Relationship Id="rId6" Type="http://schemas.openxmlformats.org/officeDocument/2006/relationships/ctrlProp" Target="../ctrlProps/ctrlProp498.xml"/><Relationship Id="rId15" Type="http://schemas.openxmlformats.org/officeDocument/2006/relationships/ctrlProp" Target="../ctrlProps/ctrlProp507.xml"/><Relationship Id="rId23" Type="http://schemas.openxmlformats.org/officeDocument/2006/relationships/ctrlProp" Target="../ctrlProps/ctrlProp515.xml"/><Relationship Id="rId28" Type="http://schemas.openxmlformats.org/officeDocument/2006/relationships/ctrlProp" Target="../ctrlProps/ctrlProp520.xml"/><Relationship Id="rId36" Type="http://schemas.openxmlformats.org/officeDocument/2006/relationships/ctrlProp" Target="../ctrlProps/ctrlProp528.xml"/><Relationship Id="rId49" Type="http://schemas.openxmlformats.org/officeDocument/2006/relationships/ctrlProp" Target="../ctrlProps/ctrlProp541.xml"/><Relationship Id="rId57" Type="http://schemas.openxmlformats.org/officeDocument/2006/relationships/ctrlProp" Target="../ctrlProps/ctrlProp549.xml"/><Relationship Id="rId10" Type="http://schemas.openxmlformats.org/officeDocument/2006/relationships/ctrlProp" Target="../ctrlProps/ctrlProp502.xml"/><Relationship Id="rId31" Type="http://schemas.openxmlformats.org/officeDocument/2006/relationships/ctrlProp" Target="../ctrlProps/ctrlProp523.xml"/><Relationship Id="rId44" Type="http://schemas.openxmlformats.org/officeDocument/2006/relationships/ctrlProp" Target="../ctrlProps/ctrlProp536.xml"/><Relationship Id="rId52" Type="http://schemas.openxmlformats.org/officeDocument/2006/relationships/ctrlProp" Target="../ctrlProps/ctrlProp544.xml"/><Relationship Id="rId60" Type="http://schemas.openxmlformats.org/officeDocument/2006/relationships/ctrlProp" Target="../ctrlProps/ctrlProp552.xml"/><Relationship Id="rId4" Type="http://schemas.openxmlformats.org/officeDocument/2006/relationships/ctrlProp" Target="../ctrlProps/ctrlProp496.xml"/><Relationship Id="rId9" Type="http://schemas.openxmlformats.org/officeDocument/2006/relationships/ctrlProp" Target="../ctrlProps/ctrlProp50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9.xml"/><Relationship Id="rId3" Type="http://schemas.openxmlformats.org/officeDocument/2006/relationships/ctrlProp" Target="../ctrlProps/ctrlProp554.xml"/><Relationship Id="rId7" Type="http://schemas.openxmlformats.org/officeDocument/2006/relationships/ctrlProp" Target="../ctrlProps/ctrlProp558.xml"/><Relationship Id="rId2" Type="http://schemas.openxmlformats.org/officeDocument/2006/relationships/vmlDrawing" Target="../drawings/vmlDrawing28.vml"/><Relationship Id="rId1" Type="http://schemas.openxmlformats.org/officeDocument/2006/relationships/drawing" Target="../drawings/drawing28.xml"/><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5.xml"/><Relationship Id="rId3" Type="http://schemas.openxmlformats.org/officeDocument/2006/relationships/ctrlProp" Target="../ctrlProps/ctrlProp560.xml"/><Relationship Id="rId7" Type="http://schemas.openxmlformats.org/officeDocument/2006/relationships/ctrlProp" Target="../ctrlProps/ctrlProp564.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63.xml"/><Relationship Id="rId5" Type="http://schemas.openxmlformats.org/officeDocument/2006/relationships/ctrlProp" Target="../ctrlProps/ctrlProp562.xml"/><Relationship Id="rId4" Type="http://schemas.openxmlformats.org/officeDocument/2006/relationships/ctrlProp" Target="../ctrlProps/ctrlProp56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1.xml"/><Relationship Id="rId3" Type="http://schemas.openxmlformats.org/officeDocument/2006/relationships/ctrlProp" Target="../ctrlProps/ctrlProp566.xml"/><Relationship Id="rId7" Type="http://schemas.openxmlformats.org/officeDocument/2006/relationships/ctrlProp" Target="../ctrlProps/ctrlProp570.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9.xml"/><Relationship Id="rId5" Type="http://schemas.openxmlformats.org/officeDocument/2006/relationships/ctrlProp" Target="../ctrlProps/ctrlProp568.xml"/><Relationship Id="rId4" Type="http://schemas.openxmlformats.org/officeDocument/2006/relationships/ctrlProp" Target="../ctrlProps/ctrlProp56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76.xml"/><Relationship Id="rId13" Type="http://schemas.openxmlformats.org/officeDocument/2006/relationships/ctrlProp" Target="../ctrlProps/ctrlProp581.xml"/><Relationship Id="rId18" Type="http://schemas.openxmlformats.org/officeDocument/2006/relationships/ctrlProp" Target="../ctrlProps/ctrlProp586.xml"/><Relationship Id="rId3" Type="http://schemas.openxmlformats.org/officeDocument/2006/relationships/vmlDrawing" Target="../drawings/vmlDrawing31.vml"/><Relationship Id="rId21" Type="http://schemas.openxmlformats.org/officeDocument/2006/relationships/ctrlProp" Target="../ctrlProps/ctrlProp589.xml"/><Relationship Id="rId7" Type="http://schemas.openxmlformats.org/officeDocument/2006/relationships/ctrlProp" Target="../ctrlProps/ctrlProp575.xml"/><Relationship Id="rId12" Type="http://schemas.openxmlformats.org/officeDocument/2006/relationships/ctrlProp" Target="../ctrlProps/ctrlProp580.xml"/><Relationship Id="rId17" Type="http://schemas.openxmlformats.org/officeDocument/2006/relationships/ctrlProp" Target="../ctrlProps/ctrlProp585.xml"/><Relationship Id="rId2" Type="http://schemas.openxmlformats.org/officeDocument/2006/relationships/drawing" Target="../drawings/drawing31.xml"/><Relationship Id="rId16" Type="http://schemas.openxmlformats.org/officeDocument/2006/relationships/ctrlProp" Target="../ctrlProps/ctrlProp584.xml"/><Relationship Id="rId20" Type="http://schemas.openxmlformats.org/officeDocument/2006/relationships/ctrlProp" Target="../ctrlProps/ctrlProp588.xml"/><Relationship Id="rId1" Type="http://schemas.openxmlformats.org/officeDocument/2006/relationships/printerSettings" Target="../printerSettings/printerSettings25.bin"/><Relationship Id="rId6" Type="http://schemas.openxmlformats.org/officeDocument/2006/relationships/ctrlProp" Target="../ctrlProps/ctrlProp574.xml"/><Relationship Id="rId11" Type="http://schemas.openxmlformats.org/officeDocument/2006/relationships/ctrlProp" Target="../ctrlProps/ctrlProp579.xml"/><Relationship Id="rId5" Type="http://schemas.openxmlformats.org/officeDocument/2006/relationships/ctrlProp" Target="../ctrlProps/ctrlProp573.xml"/><Relationship Id="rId15" Type="http://schemas.openxmlformats.org/officeDocument/2006/relationships/ctrlProp" Target="../ctrlProps/ctrlProp583.xml"/><Relationship Id="rId10" Type="http://schemas.openxmlformats.org/officeDocument/2006/relationships/ctrlProp" Target="../ctrlProps/ctrlProp578.xml"/><Relationship Id="rId19" Type="http://schemas.openxmlformats.org/officeDocument/2006/relationships/ctrlProp" Target="../ctrlProps/ctrlProp587.xml"/><Relationship Id="rId4" Type="http://schemas.openxmlformats.org/officeDocument/2006/relationships/ctrlProp" Target="../ctrlProps/ctrlProp572.xml"/><Relationship Id="rId9" Type="http://schemas.openxmlformats.org/officeDocument/2006/relationships/ctrlProp" Target="../ctrlProps/ctrlProp577.xml"/><Relationship Id="rId14" Type="http://schemas.openxmlformats.org/officeDocument/2006/relationships/ctrlProp" Target="../ctrlProps/ctrlProp582.xml"/><Relationship Id="rId22" Type="http://schemas.openxmlformats.org/officeDocument/2006/relationships/ctrlProp" Target="../ctrlProps/ctrlProp59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67" t="s">
        <v>90</v>
      </c>
      <c r="B1" s="468"/>
      <c r="C1" s="468"/>
      <c r="D1" s="468"/>
      <c r="E1" s="468"/>
      <c r="F1" s="468"/>
      <c r="G1" s="4"/>
      <c r="H1" s="4"/>
      <c r="I1" s="4"/>
      <c r="J1" s="4"/>
      <c r="K1" s="4"/>
      <c r="L1" s="4"/>
      <c r="M1" s="4"/>
      <c r="N1" s="4"/>
      <c r="O1" s="4"/>
    </row>
    <row r="2" spans="1:15" x14ac:dyDescent="0.2">
      <c r="A2" s="469" t="s">
        <v>277</v>
      </c>
      <c r="B2" s="470"/>
      <c r="C2" s="470"/>
      <c r="D2" s="470"/>
      <c r="E2" s="470"/>
      <c r="F2" s="470"/>
      <c r="G2" s="4" t="s">
        <v>15</v>
      </c>
      <c r="H2" s="4"/>
      <c r="I2" s="4"/>
      <c r="J2" s="4"/>
      <c r="K2" s="4"/>
      <c r="L2" s="4"/>
      <c r="M2" s="4" t="s">
        <v>15</v>
      </c>
      <c r="N2" s="4" t="s">
        <v>15</v>
      </c>
      <c r="O2" s="4" t="s">
        <v>15</v>
      </c>
    </row>
    <row r="3" spans="1:15" x14ac:dyDescent="0.2">
      <c r="A3" s="465" t="s">
        <v>24</v>
      </c>
      <c r="B3" s="465"/>
      <c r="C3" s="465"/>
      <c r="D3" s="465"/>
      <c r="E3" s="465"/>
      <c r="F3" s="465"/>
    </row>
    <row r="4" spans="1:15" x14ac:dyDescent="0.2">
      <c r="A4" s="12"/>
      <c r="B4" s="12"/>
      <c r="C4" s="12"/>
      <c r="D4" s="12"/>
      <c r="E4" s="12"/>
      <c r="F4" s="12"/>
    </row>
    <row r="5" spans="1:15" ht="65.25" customHeight="1" x14ac:dyDescent="0.2">
      <c r="A5" s="466" t="s">
        <v>194</v>
      </c>
      <c r="B5" s="466"/>
      <c r="C5" s="466"/>
      <c r="D5" s="466"/>
      <c r="E5" s="466"/>
      <c r="F5" s="466"/>
    </row>
    <row r="6" spans="1:15" x14ac:dyDescent="0.2">
      <c r="A6" s="12"/>
      <c r="B6" s="12"/>
      <c r="C6" s="12"/>
      <c r="D6" s="12"/>
      <c r="E6" s="12"/>
      <c r="F6" s="11"/>
      <c r="O6" t="s">
        <v>15</v>
      </c>
    </row>
    <row r="7" spans="1:15" x14ac:dyDescent="0.2">
      <c r="A7" s="12" t="s">
        <v>2</v>
      </c>
      <c r="B7" s="472"/>
      <c r="C7" s="477"/>
      <c r="D7" s="477"/>
      <c r="E7" s="473"/>
      <c r="F7" s="11"/>
      <c r="G7" s="1"/>
      <c r="H7" s="1"/>
      <c r="I7" s="1"/>
      <c r="J7" s="1"/>
      <c r="K7" s="1"/>
      <c r="L7" s="1"/>
    </row>
    <row r="8" spans="1:15" x14ac:dyDescent="0.2">
      <c r="A8" s="231" t="s">
        <v>248</v>
      </c>
      <c r="B8" s="472"/>
      <c r="C8" s="473"/>
      <c r="D8" s="13"/>
      <c r="E8" s="13"/>
      <c r="F8" s="13"/>
      <c r="G8" s="1"/>
      <c r="H8" s="1"/>
      <c r="I8" s="1"/>
      <c r="J8" s="1"/>
      <c r="K8" s="1"/>
      <c r="L8" s="1"/>
    </row>
    <row r="9" spans="1:15" x14ac:dyDescent="0.2">
      <c r="A9" s="231" t="s">
        <v>232</v>
      </c>
      <c r="B9" s="141">
        <v>6</v>
      </c>
      <c r="C9" s="141">
        <v>2025</v>
      </c>
      <c r="D9" s="13"/>
      <c r="E9" s="13"/>
      <c r="F9" s="13"/>
    </row>
    <row r="10" spans="1:15" x14ac:dyDescent="0.2">
      <c r="A10" s="12"/>
      <c r="B10" s="255" t="s">
        <v>101</v>
      </c>
      <c r="C10" s="252" t="s">
        <v>91</v>
      </c>
      <c r="D10" s="224"/>
      <c r="E10" s="140"/>
      <c r="F10" s="13"/>
    </row>
    <row r="11" spans="1:15" x14ac:dyDescent="0.2">
      <c r="A11" s="12" t="s">
        <v>35</v>
      </c>
      <c r="B11" s="474" t="s">
        <v>95</v>
      </c>
      <c r="C11" s="475"/>
      <c r="D11" s="475"/>
      <c r="E11" s="475"/>
      <c r="F11" s="476"/>
    </row>
    <row r="12" spans="1:15" x14ac:dyDescent="0.2">
      <c r="A12" s="12"/>
      <c r="B12" s="12"/>
      <c r="C12" s="12"/>
      <c r="D12" s="12"/>
      <c r="E12" s="12"/>
      <c r="F12" s="12"/>
    </row>
    <row r="13" spans="1:15" x14ac:dyDescent="0.2">
      <c r="A13" s="12"/>
      <c r="B13" s="12"/>
      <c r="C13" s="12"/>
      <c r="D13" s="12"/>
      <c r="E13" s="12"/>
      <c r="F13" s="13"/>
    </row>
    <row r="14" spans="1:15" x14ac:dyDescent="0.2">
      <c r="A14" s="216" t="s">
        <v>340</v>
      </c>
      <c r="B14" s="119"/>
      <c r="C14" s="240" t="s">
        <v>45</v>
      </c>
      <c r="D14" s="11"/>
      <c r="E14" s="14"/>
      <c r="F14" s="11" t="s">
        <v>15</v>
      </c>
    </row>
    <row r="15" spans="1:15" x14ac:dyDescent="0.2">
      <c r="A15" s="231" t="s">
        <v>272</v>
      </c>
      <c r="B15" s="119"/>
      <c r="C15" s="240" t="s">
        <v>45</v>
      </c>
      <c r="D15" s="225"/>
      <c r="E15" s="64">
        <v>3</v>
      </c>
      <c r="F15" s="14" t="s">
        <v>15</v>
      </c>
      <c r="G15" s="2"/>
      <c r="H15" s="2"/>
      <c r="I15" s="2"/>
      <c r="J15" s="2"/>
      <c r="K15" s="2"/>
      <c r="L15" s="2"/>
    </row>
    <row r="16" spans="1:15" x14ac:dyDescent="0.2">
      <c r="A16" s="12" t="s">
        <v>130</v>
      </c>
      <c r="B16" s="304"/>
      <c r="C16" s="240" t="s">
        <v>45</v>
      </c>
      <c r="D16" s="225"/>
      <c r="E16" s="64">
        <v>1</v>
      </c>
      <c r="F16" s="14" t="s">
        <v>15</v>
      </c>
      <c r="G16" s="2"/>
      <c r="H16" s="2"/>
      <c r="I16" s="2"/>
      <c r="J16" s="2"/>
      <c r="K16" s="2"/>
      <c r="L16" s="2"/>
    </row>
    <row r="17" spans="1:13" x14ac:dyDescent="0.2">
      <c r="A17" s="12"/>
      <c r="B17" s="14"/>
      <c r="C17" s="14"/>
      <c r="D17" s="14"/>
      <c r="E17" s="64">
        <v>2</v>
      </c>
      <c r="F17" s="14" t="s">
        <v>15</v>
      </c>
      <c r="G17" s="2"/>
      <c r="H17" s="2"/>
      <c r="I17" s="2"/>
      <c r="J17" s="2"/>
      <c r="K17" s="2"/>
      <c r="L17" s="2"/>
    </row>
    <row r="18" spans="1:13" x14ac:dyDescent="0.2">
      <c r="A18" s="216" t="s">
        <v>77</v>
      </c>
      <c r="B18" s="211"/>
      <c r="C18" s="14"/>
      <c r="D18" s="14"/>
      <c r="E18" s="230">
        <f>IF(E16=1,1,IF(E16=2,0.98,1.01))</f>
        <v>1</v>
      </c>
      <c r="F18" s="65" t="s">
        <v>51</v>
      </c>
      <c r="G18" s="2"/>
      <c r="H18" s="2"/>
      <c r="I18" s="2"/>
      <c r="J18" s="2"/>
      <c r="K18" s="2"/>
      <c r="L18" s="2"/>
    </row>
    <row r="19" spans="1:13" x14ac:dyDescent="0.2">
      <c r="A19" s="12" t="s">
        <v>78</v>
      </c>
      <c r="B19" s="211"/>
      <c r="C19" s="14"/>
      <c r="D19" s="14"/>
      <c r="E19" s="64"/>
      <c r="F19" s="14"/>
      <c r="G19" s="2"/>
      <c r="H19" s="2"/>
      <c r="I19" s="2"/>
      <c r="J19" s="2"/>
      <c r="K19" s="2"/>
      <c r="L19" s="2"/>
    </row>
    <row r="20" spans="1:13" x14ac:dyDescent="0.2">
      <c r="A20" s="12"/>
      <c r="B20" s="14"/>
      <c r="C20" s="14"/>
      <c r="D20" s="14"/>
      <c r="E20" s="64"/>
      <c r="F20" s="14"/>
      <c r="G20" s="2"/>
      <c r="H20" s="2"/>
      <c r="I20" s="2"/>
      <c r="J20" s="2"/>
      <c r="K20" s="2"/>
      <c r="L20" s="2"/>
    </row>
    <row r="21" spans="1:13" x14ac:dyDescent="0.2">
      <c r="A21" s="12" t="s">
        <v>88</v>
      </c>
      <c r="B21" s="289"/>
      <c r="C21" s="229" t="s">
        <v>41</v>
      </c>
      <c r="D21" s="14"/>
      <c r="E21" s="64"/>
      <c r="F21" s="14"/>
      <c r="G21" s="2"/>
      <c r="H21" s="2"/>
      <c r="I21" s="2"/>
      <c r="J21" s="2"/>
      <c r="K21" s="2"/>
      <c r="L21" s="2"/>
    </row>
    <row r="22" spans="1:13" x14ac:dyDescent="0.2">
      <c r="A22" s="12" t="s">
        <v>89</v>
      </c>
      <c r="B22" s="119"/>
      <c r="C22" s="229" t="s">
        <v>41</v>
      </c>
      <c r="D22" s="14"/>
      <c r="E22" s="64"/>
      <c r="F22" s="14"/>
      <c r="G22" s="2"/>
      <c r="H22" s="2"/>
      <c r="I22" s="2"/>
      <c r="J22" s="2"/>
      <c r="K22" s="2"/>
      <c r="L22" s="2"/>
    </row>
    <row r="23" spans="1:13" x14ac:dyDescent="0.2">
      <c r="A23" s="231" t="s">
        <v>271</v>
      </c>
      <c r="B23" s="119"/>
      <c r="C23" s="229" t="s">
        <v>41</v>
      </c>
      <c r="D23" s="229"/>
      <c r="E23" s="64"/>
      <c r="F23" s="14"/>
      <c r="G23" s="2"/>
      <c r="H23" s="2"/>
      <c r="I23" s="2"/>
      <c r="J23" s="2"/>
      <c r="K23" s="2"/>
      <c r="L23" s="2"/>
    </row>
    <row r="24" spans="1:13" x14ac:dyDescent="0.2">
      <c r="A24" s="12"/>
      <c r="B24" s="14"/>
      <c r="C24" s="14"/>
      <c r="D24" s="229"/>
      <c r="E24" s="231" t="s">
        <v>15</v>
      </c>
      <c r="F24" s="216"/>
      <c r="G24" s="2"/>
      <c r="H24" s="2"/>
      <c r="I24" s="2"/>
      <c r="J24" s="2"/>
      <c r="K24" s="2"/>
      <c r="L24" s="2"/>
      <c r="M24" s="217"/>
    </row>
    <row r="25" spans="1:13" x14ac:dyDescent="0.2">
      <c r="A25" s="12"/>
      <c r="B25" s="14"/>
      <c r="C25" s="14"/>
      <c r="D25" s="229"/>
      <c r="E25" s="219"/>
      <c r="F25" s="216"/>
    </row>
    <row r="26" spans="1:13" x14ac:dyDescent="0.2">
      <c r="A26" s="12" t="s">
        <v>127</v>
      </c>
      <c r="B26" s="122"/>
      <c r="C26" s="229" t="s">
        <v>126</v>
      </c>
      <c r="D26" s="229"/>
      <c r="E26" s="236"/>
      <c r="F26" s="218"/>
      <c r="G26" s="2"/>
      <c r="H26" s="2"/>
      <c r="I26" s="2"/>
      <c r="J26" s="2"/>
      <c r="K26" s="2"/>
      <c r="L26" s="2"/>
    </row>
    <row r="27" spans="1:13" x14ac:dyDescent="0.2">
      <c r="A27" s="12" t="s">
        <v>53</v>
      </c>
      <c r="B27" s="119">
        <v>0</v>
      </c>
      <c r="C27" s="229" t="s">
        <v>46</v>
      </c>
      <c r="D27" s="229"/>
      <c r="E27" s="231"/>
      <c r="F27" s="14" t="s">
        <v>15</v>
      </c>
      <c r="G27" s="2"/>
      <c r="H27" s="2"/>
      <c r="I27" s="2"/>
      <c r="J27" s="2"/>
      <c r="K27" s="2"/>
      <c r="L27" s="2"/>
    </row>
    <row r="28" spans="1:13" x14ac:dyDescent="0.2">
      <c r="A28" s="12"/>
      <c r="B28" s="14"/>
      <c r="C28" s="14"/>
      <c r="D28" s="229"/>
      <c r="E28" s="231"/>
      <c r="F28" s="14" t="s">
        <v>15</v>
      </c>
      <c r="G28" s="2"/>
      <c r="H28" s="2"/>
      <c r="I28" s="2"/>
      <c r="J28" s="2"/>
      <c r="K28" s="2"/>
      <c r="L28" s="2"/>
    </row>
    <row r="29" spans="1:13" x14ac:dyDescent="0.2">
      <c r="A29" s="12" t="s">
        <v>0</v>
      </c>
      <c r="B29" s="57"/>
      <c r="C29" s="232" t="s">
        <v>131</v>
      </c>
      <c r="D29" s="233">
        <f>IF(ISNUMBER(B29),B29,IF(ISNUMBER(B27),(IF(ABS(B21+B22)&gt;0,ROUND(COS(ATAN(B27/(B21+B22))),3),1)),1))</f>
        <v>1</v>
      </c>
      <c r="E29" s="231"/>
      <c r="F29" s="14" t="s">
        <v>15</v>
      </c>
      <c r="G29" s="2"/>
      <c r="H29" s="2"/>
      <c r="I29" s="2"/>
      <c r="J29" s="2"/>
      <c r="K29" s="2"/>
      <c r="L29" s="2"/>
    </row>
    <row r="30" spans="1:13" x14ac:dyDescent="0.2">
      <c r="A30" s="12"/>
      <c r="B30" s="14"/>
      <c r="C30" s="14"/>
      <c r="D30" s="234">
        <f>IF(D29&lt;&gt;0,SIGN(D29)*ROUND(1/D29,3),0)</f>
        <v>1</v>
      </c>
      <c r="E30" s="12"/>
      <c r="F30" s="65"/>
      <c r="G30" s="2"/>
      <c r="H30" s="2"/>
      <c r="I30" s="2"/>
      <c r="J30" s="2"/>
      <c r="K30" s="2"/>
      <c r="L30" s="2"/>
    </row>
    <row r="31" spans="1:13" ht="12" customHeight="1" x14ac:dyDescent="0.2">
      <c r="A31" s="62"/>
      <c r="B31" s="213"/>
      <c r="C31" s="248"/>
      <c r="D31" s="235"/>
      <c r="E31" s="12" t="s">
        <v>15</v>
      </c>
      <c r="F31" s="216"/>
      <c r="G31" s="2"/>
      <c r="H31" s="2"/>
      <c r="I31" s="2"/>
      <c r="J31" s="2"/>
      <c r="K31" s="2"/>
      <c r="L31" s="2"/>
    </row>
    <row r="32" spans="1:13" ht="12.75" customHeight="1" x14ac:dyDescent="0.2">
      <c r="A32" s="63" t="s">
        <v>125</v>
      </c>
      <c r="B32" s="213"/>
      <c r="C32" s="248" t="b">
        <v>0</v>
      </c>
      <c r="D32" s="235"/>
      <c r="E32" s="231"/>
      <c r="F32" s="231"/>
    </row>
    <row r="33" spans="1:6" ht="12" customHeight="1" x14ac:dyDescent="0.2">
      <c r="A33" s="63" t="s">
        <v>128</v>
      </c>
      <c r="B33" s="214"/>
      <c r="C33" s="248" t="b">
        <v>0</v>
      </c>
      <c r="D33" s="235"/>
      <c r="E33" s="231"/>
      <c r="F33" s="231"/>
    </row>
    <row r="34" spans="1:6" x14ac:dyDescent="0.2">
      <c r="A34" s="256" t="s">
        <v>216</v>
      </c>
      <c r="B34" s="214"/>
      <c r="C34" s="257" t="b">
        <v>0</v>
      </c>
      <c r="D34" s="215"/>
      <c r="E34" s="12"/>
      <c r="F34" s="216"/>
    </row>
    <row r="35" spans="1:6" ht="12" customHeight="1" x14ac:dyDescent="0.2">
      <c r="A35" s="63"/>
      <c r="B35" s="74"/>
      <c r="C35" s="215"/>
      <c r="D35" s="215"/>
      <c r="E35" s="12"/>
      <c r="F35" s="216"/>
    </row>
    <row r="36" spans="1:6" x14ac:dyDescent="0.2">
      <c r="A36" s="471" t="s">
        <v>25</v>
      </c>
      <c r="B36" s="471"/>
      <c r="C36" s="471"/>
      <c r="D36" s="223"/>
      <c r="E36" s="231"/>
      <c r="F36" s="286" t="s">
        <v>341</v>
      </c>
    </row>
    <row r="37" spans="1:6" x14ac:dyDescent="0.2">
      <c r="A37" s="12"/>
      <c r="B37" s="12"/>
      <c r="C37" s="12"/>
      <c r="D37" s="12"/>
      <c r="E37" s="12"/>
      <c r="F37" s="244"/>
    </row>
    <row r="39" spans="1:6" x14ac:dyDescent="0.2">
      <c r="B39" s="3"/>
    </row>
  </sheetData>
  <sheetProtection algorithmName="SHA-512" hashValue="1iQCqmrVqWxkdMwqko2wfdXZeQLlVXXSN/5fr1JHTZPTbxXxsi8Mtyc8AX1eg8HZxYmvDdizspXIRZQYEu94Tg==" saltValue="cJUBAeH3AEeS9+iudYmeIA==" spinCount="100000" sheet="1" objects="1" scenarios="1"/>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topLeftCell="A29"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84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76">
        <f ca="1">TODAY()</f>
        <v>45806</v>
      </c>
      <c r="B6" s="210" t="s">
        <v>229</v>
      </c>
      <c r="C6" s="76"/>
      <c r="D6" s="76"/>
      <c r="E6" s="76"/>
      <c r="F6" s="76"/>
      <c r="G6" s="76"/>
      <c r="H6" s="76"/>
      <c r="I6" s="76"/>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6</v>
      </c>
      <c r="C11" s="194" t="str">
        <f>LOOKUP(B11,R11:AD11,R12:AD12)</f>
        <v>June</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'GS-TOU Bundled'!C16+'GS-TOU Bundled'!C17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-4.1073000000000004E-3</v>
      </c>
      <c r="H37" s="103"/>
      <c r="I37" s="103"/>
      <c r="J37" s="237">
        <f>SUM(G37:H37)</f>
        <v>-4.1073000000000004E-3</v>
      </c>
      <c r="K37" s="104" t="s">
        <v>42</v>
      </c>
      <c r="L37" s="105">
        <f>ROUND(D37*G37,2)</f>
        <v>0</v>
      </c>
      <c r="M37" s="105"/>
      <c r="N37" s="105"/>
      <c r="O37" s="105">
        <f t="shared" si="2"/>
        <v>0</v>
      </c>
      <c r="P37" s="245">
        <f>'Rider Rates'!$D$45</f>
        <v>45747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18.72</v>
      </c>
      <c r="J44" s="196">
        <f t="shared" si="0"/>
        <v>18.72</v>
      </c>
      <c r="K44" s="104"/>
      <c r="L44" s="105"/>
      <c r="M44" s="105"/>
      <c r="N44" s="105">
        <f>I44</f>
        <v>18.72</v>
      </c>
      <c r="O44" s="105">
        <f t="shared" si="2"/>
        <v>18.72</v>
      </c>
      <c r="P44" s="245">
        <f>'Rider Rates'!$D$91</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0.24140039999999999</v>
      </c>
      <c r="J46" s="120">
        <f t="shared" si="0"/>
        <v>0.24140039999999999</v>
      </c>
      <c r="K46" s="104"/>
      <c r="L46" s="105"/>
      <c r="M46" s="105"/>
      <c r="N46" s="105">
        <f>ROUND(D46*I46,2)</f>
        <v>2.27</v>
      </c>
      <c r="O46" s="105">
        <f t="shared" si="2"/>
        <v>2.27</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26.639999999999997</v>
      </c>
      <c r="O55" s="169">
        <f t="shared" si="3"/>
        <v>26.639999999999997</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36.04</v>
      </c>
      <c r="O57" s="187">
        <f>O23+O55</f>
        <v>36.04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36.04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36.04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topLeftCell="A21" zoomScale="80" zoomScaleNormal="80" workbookViewId="0">
      <selection activeCell="D36" sqref="D36"/>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253</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6">
        <f ca="1">TODAY()</f>
        <v>45806</v>
      </c>
      <c r="B5" s="75"/>
      <c r="C5" s="75"/>
      <c r="D5" s="75"/>
      <c r="E5" s="75"/>
      <c r="F5" s="75"/>
      <c r="G5" s="75"/>
      <c r="H5" s="75"/>
      <c r="I5" s="75"/>
      <c r="J5" s="75"/>
      <c r="K5" s="75"/>
      <c r="L5" s="75"/>
      <c r="M5" s="75"/>
      <c r="N5" s="75"/>
      <c r="O5" s="75"/>
      <c r="P5" s="75"/>
    </row>
    <row r="6" spans="1:30" x14ac:dyDescent="0.2">
      <c r="A6" s="507" t="s">
        <v>250</v>
      </c>
      <c r="B6" s="507"/>
      <c r="C6" s="507"/>
      <c r="D6" s="507"/>
      <c r="E6" s="507"/>
      <c r="F6" s="507"/>
      <c r="G6" s="507"/>
      <c r="H6" s="507"/>
      <c r="I6" s="507"/>
      <c r="J6" s="507"/>
      <c r="K6" s="507"/>
      <c r="L6" s="507"/>
      <c r="M6" s="507"/>
      <c r="N6" s="507"/>
      <c r="O6" s="507"/>
      <c r="P6" s="507"/>
      <c r="Q6" s="507"/>
    </row>
    <row r="7" spans="1:30" x14ac:dyDescent="0.2">
      <c r="A7" s="479" t="s">
        <v>15</v>
      </c>
      <c r="B7" s="479"/>
      <c r="C7" s="479"/>
      <c r="D7" s="479"/>
      <c r="E7" s="479"/>
      <c r="F7" s="479"/>
      <c r="G7" s="479"/>
      <c r="H7" s="479"/>
      <c r="I7" s="479"/>
      <c r="J7" s="479"/>
      <c r="K7" s="47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6</v>
      </c>
      <c r="C11" s="194" t="str">
        <f>LOOKUP(B11,R11:AD11,R12:AD12)</f>
        <v>June</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
      <c r="A17" s="28" t="s">
        <v>76</v>
      </c>
      <c r="B17" s="22"/>
      <c r="C17" s="22"/>
      <c r="D17" s="22"/>
      <c r="E17" s="22"/>
      <c r="F17" s="22"/>
      <c r="G17" s="490" t="s">
        <v>68</v>
      </c>
      <c r="H17" s="491"/>
      <c r="I17" s="491"/>
      <c r="J17" s="492"/>
      <c r="K17" s="22"/>
      <c r="L17" s="493" t="s">
        <v>69</v>
      </c>
      <c r="M17" s="493"/>
      <c r="N17" s="493"/>
      <c r="O17" s="493"/>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9.4</v>
      </c>
      <c r="J19" s="125">
        <f>SUM(G19:I19)</f>
        <v>9.4</v>
      </c>
      <c r="L19" s="125"/>
      <c r="M19" s="125"/>
      <c r="N19" s="125">
        <f>I19</f>
        <v>9.4</v>
      </c>
      <c r="O19" s="105">
        <f>+SUM(L19:N19)</f>
        <v>9.4</v>
      </c>
      <c r="P19" s="245">
        <v>44531</v>
      </c>
    </row>
    <row r="20" spans="1:221" x14ac:dyDescent="0.2">
      <c r="A20" t="s">
        <v>296</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
      <c r="A21" s="96" t="s">
        <v>75</v>
      </c>
      <c r="B21" s="37"/>
      <c r="C21" s="37"/>
      <c r="D21" s="38"/>
      <c r="E21" s="38"/>
      <c r="F21" s="37"/>
      <c r="G21" s="37"/>
      <c r="I21" s="40"/>
      <c r="K21" s="39"/>
      <c r="L21" s="95"/>
      <c r="M21" s="54"/>
      <c r="N21" s="95">
        <f>SUM(N19:N20)</f>
        <v>9.4</v>
      </c>
      <c r="O21" s="95">
        <f>SUM(O19:O20)</f>
        <v>9.4</v>
      </c>
    </row>
    <row r="22" spans="1:221" x14ac:dyDescent="0.2">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5" si="0">SUM(G25:I25)</f>
        <v>4.6278999999999999E-3</v>
      </c>
      <c r="K25" s="104" t="s">
        <v>42</v>
      </c>
      <c r="L25" s="105"/>
      <c r="M25" s="105"/>
      <c r="N25" s="105">
        <f>ROUND(D25*I25,2)</f>
        <v>0</v>
      </c>
      <c r="O25" s="105">
        <f>SUM(L25:N25)</f>
        <v>0</v>
      </c>
      <c r="P25" s="245">
        <f>'Rider Rates'!$D$4</f>
        <v>45657</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45657</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237</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186</v>
      </c>
      <c r="B31" s="78"/>
      <c r="C31" s="78"/>
      <c r="D31" s="100">
        <f>'Customer Info'!$B$21+'Customer Info'!$B$22</f>
        <v>0</v>
      </c>
      <c r="E31" s="101" t="s">
        <v>41</v>
      </c>
      <c r="F31" s="102" t="s">
        <v>8</v>
      </c>
      <c r="G31" s="103">
        <f>'Rider Rates'!B22</f>
        <v>7.6880000000000004E-2</v>
      </c>
      <c r="H31" s="103"/>
      <c r="I31" s="103"/>
      <c r="J31" s="237">
        <f>SUM(G31:H31)</f>
        <v>7.6880000000000004E-2</v>
      </c>
      <c r="K31" s="104" t="s">
        <v>42</v>
      </c>
      <c r="L31" s="105">
        <f>ROUND(D31*G31,2)</f>
        <v>0</v>
      </c>
      <c r="M31" s="105"/>
      <c r="N31" s="105"/>
      <c r="O31" s="105">
        <f t="shared" si="1"/>
        <v>0</v>
      </c>
      <c r="P31" s="245">
        <f>'Rider Rates'!$D$21</f>
        <v>45809</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162</v>
      </c>
      <c r="B32" s="78"/>
      <c r="C32" s="78"/>
      <c r="D32" s="1">
        <f>'Customer Info'!$B$21</f>
        <v>0</v>
      </c>
      <c r="E32" s="101" t="s">
        <v>41</v>
      </c>
      <c r="F32" s="102" t="s">
        <v>8</v>
      </c>
      <c r="G32" s="103">
        <f>'Rider Rates'!B39</f>
        <v>3.0884399999999999E-2</v>
      </c>
      <c r="H32" s="103"/>
      <c r="I32" s="103"/>
      <c r="J32" s="237">
        <f>SUM(G32:H32)</f>
        <v>3.0884399999999999E-2</v>
      </c>
      <c r="K32" s="104" t="s">
        <v>42</v>
      </c>
      <c r="L32" s="105">
        <f>ROUND(D32*G32,2)</f>
        <v>0</v>
      </c>
      <c r="M32" s="105"/>
      <c r="N32" s="105"/>
      <c r="O32" s="105">
        <f t="shared" si="1"/>
        <v>0</v>
      </c>
      <c r="P32" s="245">
        <f>'Rider Rates'!D29</f>
        <v>45809</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219</v>
      </c>
      <c r="B33" s="78"/>
      <c r="C33" s="78"/>
      <c r="D33" s="1">
        <f>'Customer Info'!$B$22</f>
        <v>0</v>
      </c>
      <c r="E33" s="101" t="s">
        <v>41</v>
      </c>
      <c r="F33" s="102" t="s">
        <v>8</v>
      </c>
      <c r="G33" s="103">
        <f>'Rider Rates'!B40</f>
        <v>1.06385E-2</v>
      </c>
      <c r="H33" s="103"/>
      <c r="I33" s="103"/>
      <c r="J33" s="237">
        <f>SUM(G33:H33)</f>
        <v>1.06385E-2</v>
      </c>
      <c r="K33" s="104" t="s">
        <v>42</v>
      </c>
      <c r="L33" s="105">
        <f>ROUND(D33*G33,2)</f>
        <v>0</v>
      </c>
      <c r="M33" s="105"/>
      <c r="N33" s="105"/>
      <c r="O33" s="105">
        <f t="shared" si="1"/>
        <v>0</v>
      </c>
      <c r="P33" s="245">
        <f>'Rider Rates'!D30</f>
        <v>45809</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193</v>
      </c>
      <c r="B34" s="78"/>
      <c r="C34" s="78"/>
      <c r="D34" s="100">
        <f>'Customer Info'!$B$21+'Customer Info'!$B$22</f>
        <v>0</v>
      </c>
      <c r="E34" s="101" t="s">
        <v>41</v>
      </c>
      <c r="F34" s="102" t="s">
        <v>8</v>
      </c>
      <c r="G34" s="103">
        <f>'Rider Rates'!$B$45</f>
        <v>-4.1073000000000004E-3</v>
      </c>
      <c r="H34" s="103"/>
      <c r="I34" s="103"/>
      <c r="J34" s="237">
        <f>SUM(G34:H34)</f>
        <v>-4.1073000000000004E-3</v>
      </c>
      <c r="K34" s="104" t="s">
        <v>42</v>
      </c>
      <c r="L34" s="105">
        <f>ROUND(D34*G34,2)</f>
        <v>0</v>
      </c>
      <c r="M34" s="105"/>
      <c r="N34" s="105"/>
      <c r="O34" s="105">
        <f t="shared" si="1"/>
        <v>0</v>
      </c>
      <c r="P34" s="245">
        <f>'Rider Rates'!$D$45</f>
        <v>45747</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1"/>
        <v>0</v>
      </c>
      <c r="P35" s="245">
        <f>'Rider Rates'!E49</f>
        <v>45658</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1"/>
        <v>0</v>
      </c>
      <c r="P36" s="245">
        <f>'Rider Rates'!$D$56</f>
        <v>45747</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Rates'!$B$72+'Rider Rates'!$C$72</f>
        <v>0</v>
      </c>
      <c r="J37" s="103">
        <f>SUM(G37:I37)</f>
        <v>0</v>
      </c>
      <c r="K37" s="104" t="s">
        <v>42</v>
      </c>
      <c r="L37" s="105"/>
      <c r="M37" s="105"/>
      <c r="N37" s="87">
        <f>ROUND($D$37*'Rider Rates'!$B$72,2)+ROUND($D$37*'Rider Rates'!$C$72,2)</f>
        <v>0</v>
      </c>
      <c r="O37" s="105">
        <f>SUM(L37:N37)</f>
        <v>0</v>
      </c>
      <c r="P37" s="245">
        <f>'Rider Rates'!$D$72</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Rates'!$B$78</f>
        <v>0</v>
      </c>
      <c r="J38" s="196">
        <f>IF('Customer Info'!C34=TRUE,0,SUM(G38:I38))</f>
        <v>0</v>
      </c>
      <c r="K38" s="104"/>
      <c r="L38" s="105"/>
      <c r="M38" s="105"/>
      <c r="N38" s="105">
        <f>J38</f>
        <v>0</v>
      </c>
      <c r="O38" s="105">
        <f>SUM(L38:N38)</f>
        <v>0</v>
      </c>
      <c r="P38" s="245">
        <f>'Rider Rates'!$D$78</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$N$21</f>
        <v>9.4</v>
      </c>
      <c r="E39" s="101" t="s">
        <v>122</v>
      </c>
      <c r="F39" s="102" t="s">
        <v>8</v>
      </c>
      <c r="G39" s="111"/>
      <c r="H39" s="112"/>
      <c r="I39" s="120">
        <f>'Rider Rates'!$B$85</f>
        <v>1.9512100000000001E-2</v>
      </c>
      <c r="J39" s="120">
        <f t="shared" si="0"/>
        <v>1.9512100000000001E-2</v>
      </c>
      <c r="K39" s="104"/>
      <c r="L39" s="105"/>
      <c r="M39" s="105"/>
      <c r="N39" s="105">
        <f>ROUND(D39*I39,2)</f>
        <v>0.18</v>
      </c>
      <c r="O39" s="105">
        <f>SUM(L39:N39)</f>
        <v>0.18</v>
      </c>
      <c r="P39" s="245">
        <f>'Rider Rates'!$D$85</f>
        <v>45747</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$N$21</f>
        <v>9.4</v>
      </c>
      <c r="E40" s="101" t="s">
        <v>122</v>
      </c>
      <c r="F40" s="102" t="s">
        <v>8</v>
      </c>
      <c r="G40" s="114"/>
      <c r="H40" s="115"/>
      <c r="I40" s="120">
        <f>'Rider Rates'!$B$87</f>
        <v>6.6985699999999995E-2</v>
      </c>
      <c r="J40" s="120">
        <f t="shared" si="0"/>
        <v>6.6985699999999995E-2</v>
      </c>
      <c r="K40" s="104"/>
      <c r="L40" s="105"/>
      <c r="M40" s="105"/>
      <c r="N40" s="105">
        <f>ROUND(D40*I40,2)</f>
        <v>0.63</v>
      </c>
      <c r="O40" s="105">
        <f>SUM(L40:N40)</f>
        <v>0.63</v>
      </c>
      <c r="P40" s="245">
        <f>'Rider Rates'!$D$87</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18.72</v>
      </c>
      <c r="J41" s="196">
        <f t="shared" si="0"/>
        <v>18.72</v>
      </c>
      <c r="K41" s="104"/>
      <c r="L41" s="105"/>
      <c r="M41" s="105"/>
      <c r="N41" s="105">
        <f>I41</f>
        <v>18.72</v>
      </c>
      <c r="O41" s="105">
        <f>SUM(L41:N41)</f>
        <v>18.72</v>
      </c>
      <c r="P41" s="245">
        <f>'Rider Rates'!$D$91</f>
        <v>45747</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251</v>
      </c>
      <c r="B42" s="78"/>
      <c r="C42" s="78"/>
      <c r="D42" s="100">
        <f>$D$25</f>
        <v>0</v>
      </c>
      <c r="E42" s="101" t="s">
        <v>41</v>
      </c>
      <c r="F42" s="102" t="s">
        <v>8</v>
      </c>
      <c r="G42" s="103"/>
      <c r="H42" s="103"/>
      <c r="I42" s="103"/>
      <c r="J42" s="103">
        <f>'Rider Rates'!$B$98</f>
        <v>0</v>
      </c>
      <c r="K42" s="104" t="s">
        <v>42</v>
      </c>
      <c r="L42" s="105"/>
      <c r="M42" s="105"/>
      <c r="N42" s="105"/>
      <c r="O42" s="105">
        <f>ROUND($D42*('Rider Rates'!B$98),2)</f>
        <v>0</v>
      </c>
      <c r="P42" s="245">
        <f>'Rider Rates'!$D$98</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252</v>
      </c>
      <c r="B43" s="78"/>
      <c r="C43" s="78"/>
      <c r="D43" s="100">
        <f>$D$26</f>
        <v>0</v>
      </c>
      <c r="E43" s="101"/>
      <c r="F43" s="102"/>
      <c r="G43" s="103"/>
      <c r="H43" s="103"/>
      <c r="I43" s="103"/>
      <c r="J43" s="103">
        <f>'Rider Rates'!$B$99</f>
        <v>0</v>
      </c>
      <c r="K43" s="104" t="s">
        <v>42</v>
      </c>
      <c r="L43" s="105"/>
      <c r="M43" s="105"/>
      <c r="N43" s="105"/>
      <c r="O43" s="105">
        <f>ROUND($D43*('Rider Rates'!B$99),2)</f>
        <v>0</v>
      </c>
      <c r="P43" s="245">
        <f>'Rider Rates'!$D$99</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9.4</v>
      </c>
      <c r="E44" s="101" t="s">
        <v>122</v>
      </c>
      <c r="F44" s="102" t="s">
        <v>8</v>
      </c>
      <c r="G44" s="114"/>
      <c r="H44" s="115"/>
      <c r="I44" s="120">
        <f>'Rider Rates'!$B$105</f>
        <v>0.24140039999999999</v>
      </c>
      <c r="J44" s="120">
        <f t="shared" si="0"/>
        <v>0.24140039999999999</v>
      </c>
      <c r="K44" s="104"/>
      <c r="L44" s="105"/>
      <c r="M44" s="105"/>
      <c r="N44" s="105">
        <f>ROUND(D44*I44,2)</f>
        <v>2.27</v>
      </c>
      <c r="O44" s="105">
        <f t="shared" ref="O44:O49" si="2">SUM(L44:N44)</f>
        <v>2.27</v>
      </c>
      <c r="P44" s="245">
        <f>'Rider Rates'!$D$105</f>
        <v>45716</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218</v>
      </c>
      <c r="B45" s="78"/>
      <c r="C45" s="78"/>
      <c r="D45" s="195"/>
      <c r="E45" s="113" t="s">
        <v>115</v>
      </c>
      <c r="F45" s="106"/>
      <c r="G45" s="114"/>
      <c r="H45" s="115"/>
      <c r="I45" s="258">
        <f>'Rider Rates'!B121</f>
        <v>4.84</v>
      </c>
      <c r="J45" s="196">
        <f t="shared" si="0"/>
        <v>4.84</v>
      </c>
      <c r="K45" s="104"/>
      <c r="L45" s="105"/>
      <c r="M45" s="105"/>
      <c r="N45" s="260">
        <f>'Rider Rates'!B121</f>
        <v>4.84</v>
      </c>
      <c r="O45" s="105">
        <f t="shared" si="2"/>
        <v>4.84</v>
      </c>
      <c r="P45" s="245">
        <f>'Rider Rates'!D121</f>
        <v>45593</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2"/>
        <v>0</v>
      </c>
      <c r="P46" s="245">
        <f>'Rider Rates'!$D$112</f>
        <v>44531</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IF($C$15&lt;1,0,$C$15)</f>
        <v>0</v>
      </c>
      <c r="E47" s="101" t="s">
        <v>41</v>
      </c>
      <c r="F47" s="249" t="s">
        <v>8</v>
      </c>
      <c r="G47" s="165"/>
      <c r="H47" s="165"/>
      <c r="I47" s="251">
        <f>'Rider Rates'!B118</f>
        <v>0</v>
      </c>
      <c r="J47" s="251">
        <f>SUM(G47:I47)</f>
        <v>0</v>
      </c>
      <c r="K47" s="104" t="s">
        <v>42</v>
      </c>
      <c r="L47" s="105"/>
      <c r="M47" s="105"/>
      <c r="N47" s="105">
        <f>D47*J47</f>
        <v>0</v>
      </c>
      <c r="O47" s="105">
        <f t="shared" si="2"/>
        <v>0</v>
      </c>
      <c r="P47" s="245">
        <f>'Rider Rates'!D118</f>
        <v>45657</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t="s">
        <v>233</v>
      </c>
      <c r="B48" s="78"/>
      <c r="C48" s="78"/>
      <c r="D48" s="100">
        <f>IF(C15&lt;0,0,IF(C15&gt;833000,833000,C15))</f>
        <v>0</v>
      </c>
      <c r="E48" s="101" t="s">
        <v>41</v>
      </c>
      <c r="F48" s="102" t="s">
        <v>8</v>
      </c>
      <c r="G48" s="265"/>
      <c r="H48" s="265"/>
      <c r="I48" s="265">
        <f>'Rider Rates'!$B$125</f>
        <v>2.9050000000000001E-4</v>
      </c>
      <c r="J48" s="265">
        <f>SUM(G48:I48)</f>
        <v>2.9050000000000001E-4</v>
      </c>
      <c r="K48" s="104" t="s">
        <v>42</v>
      </c>
      <c r="L48" s="266"/>
      <c r="M48" s="266"/>
      <c r="N48" s="266">
        <f>IF(D48*J48&gt;'Rider Rates'!$C$125,'Rider Rates'!$C$125,D48*J48)</f>
        <v>0</v>
      </c>
      <c r="O48" s="266">
        <f t="shared" si="2"/>
        <v>0</v>
      </c>
      <c r="P48" s="264">
        <f>'Rider Rates'!$E$125</f>
        <v>45658</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78" t="s">
        <v>234</v>
      </c>
      <c r="B49" s="78"/>
      <c r="C49" s="78"/>
      <c r="D49" s="123">
        <f>IF(C15&gt;833000,C15-833000,0)</f>
        <v>0</v>
      </c>
      <c r="E49" s="101" t="s">
        <v>41</v>
      </c>
      <c r="F49" s="102" t="s">
        <v>8</v>
      </c>
      <c r="G49" s="265"/>
      <c r="H49" s="265"/>
      <c r="I49" s="265">
        <f>'Rider Rates'!$B$126</f>
        <v>0</v>
      </c>
      <c r="J49" s="265">
        <f>SUM(G49:I49)</f>
        <v>0</v>
      </c>
      <c r="K49" s="104" t="s">
        <v>42</v>
      </c>
      <c r="L49" s="266"/>
      <c r="M49" s="266"/>
      <c r="N49" s="266">
        <f>D49*J49</f>
        <v>0</v>
      </c>
      <c r="O49" s="266">
        <f t="shared" si="2"/>
        <v>0</v>
      </c>
      <c r="P49" s="264">
        <f>'Rider Rates'!$E$126</f>
        <v>45658</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C14</f>
        <v>0</v>
      </c>
      <c r="E50" s="101" t="s">
        <v>41</v>
      </c>
      <c r="F50" s="249" t="s">
        <v>8</v>
      </c>
      <c r="G50" s="103"/>
      <c r="H50" s="103"/>
      <c r="I50" s="103">
        <f>'Rider Rates'!$B$130</f>
        <v>0</v>
      </c>
      <c r="J50" s="237">
        <f>SUM(G50:I50)</f>
        <v>0</v>
      </c>
      <c r="K50" s="104" t="s">
        <v>42</v>
      </c>
      <c r="L50" s="105"/>
      <c r="M50" s="105"/>
      <c r="N50" s="105">
        <f>D50*J50</f>
        <v>0</v>
      </c>
      <c r="O50" s="105">
        <f>SUM(L50:N50)</f>
        <v>0</v>
      </c>
      <c r="P50" s="245">
        <f>'Rider Rates'!$D$130</f>
        <v>44531</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Rates'!$B$137</f>
        <v>0</v>
      </c>
      <c r="J51" s="263">
        <f>SUM(G51:I51)</f>
        <v>0</v>
      </c>
      <c r="K51" s="104"/>
      <c r="L51" s="209"/>
      <c r="M51" s="209"/>
      <c r="N51" s="209">
        <f>J51</f>
        <v>0</v>
      </c>
      <c r="O51" s="209">
        <f>SUM(L51:N51)</f>
        <v>0</v>
      </c>
      <c r="P51" s="264">
        <f>'Rider Rates'!$D$137</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3">SUM(M25:M52)</f>
        <v>0</v>
      </c>
      <c r="N53" s="169">
        <f t="shared" si="3"/>
        <v>26.639999999999997</v>
      </c>
      <c r="O53" s="169">
        <f t="shared" si="3"/>
        <v>26.639999999999997</v>
      </c>
      <c r="P53" s="18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69"/>
      <c r="N54" s="106"/>
      <c r="O54" s="106"/>
      <c r="P54" s="164"/>
      <c r="Q54" s="106"/>
      <c r="R54" s="188"/>
      <c r="S54" s="108"/>
      <c r="T54" s="109"/>
      <c r="U54" s="78"/>
      <c r="V54" s="10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81" t="s">
        <v>72</v>
      </c>
      <c r="B55" s="170"/>
      <c r="C55" s="170"/>
      <c r="D55" s="170"/>
      <c r="E55" s="170"/>
      <c r="F55" s="170"/>
      <c r="G55" s="170"/>
      <c r="H55" s="170"/>
      <c r="I55" s="170"/>
      <c r="J55" s="170"/>
      <c r="K55" s="170"/>
      <c r="L55" s="186">
        <f>L21+L53</f>
        <v>0</v>
      </c>
      <c r="M55" s="186">
        <f>M21+M53</f>
        <v>0</v>
      </c>
      <c r="N55" s="186">
        <f>N21+N53</f>
        <v>36.04</v>
      </c>
      <c r="O55" s="187">
        <f>O21+O53</f>
        <v>36.04</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O19+O53</f>
        <v>36.04</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36.04</v>
      </c>
      <c r="P60" s="160"/>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c r="J63" s="78"/>
      <c r="K63" s="78"/>
      <c r="L63" s="78"/>
      <c r="M63" s="78"/>
      <c r="N63" s="78"/>
      <c r="O63" s="243"/>
      <c r="P63" s="25"/>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topLeftCell="A28"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84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327">
        <f ca="1">TODAY()</f>
        <v>45806</v>
      </c>
      <c r="B6" s="210" t="s">
        <v>229</v>
      </c>
      <c r="C6" s="327"/>
      <c r="D6" s="327"/>
      <c r="E6" s="327"/>
      <c r="F6" s="327"/>
      <c r="G6" s="327"/>
      <c r="H6" s="327"/>
      <c r="I6" s="327"/>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6</v>
      </c>
      <c r="C11" s="194" t="str">
        <f>LOOKUP(B11,R11:AD11,R12:AD12)</f>
        <v>June</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'GS-Pilot PEV'!C16+'GS-Pilot PEV'!C17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-4.1073000000000004E-3</v>
      </c>
      <c r="H37" s="103"/>
      <c r="I37" s="103"/>
      <c r="J37" s="237">
        <f>SUM(G37:H37)</f>
        <v>-4.1073000000000004E-3</v>
      </c>
      <c r="K37" s="104" t="s">
        <v>42</v>
      </c>
      <c r="L37" s="105">
        <f>ROUND(D37*G37,2)</f>
        <v>0</v>
      </c>
      <c r="M37" s="105"/>
      <c r="N37" s="105"/>
      <c r="O37" s="105">
        <f t="shared" si="2"/>
        <v>0</v>
      </c>
      <c r="P37" s="245">
        <f>'Rider Rates'!$D$45</f>
        <v>45747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18.72</v>
      </c>
      <c r="J44" s="196">
        <f t="shared" si="0"/>
        <v>18.72</v>
      </c>
      <c r="K44" s="104"/>
      <c r="L44" s="105"/>
      <c r="M44" s="105"/>
      <c r="N44" s="105">
        <f>I44</f>
        <v>18.72</v>
      </c>
      <c r="O44" s="105">
        <f t="shared" si="2"/>
        <v>18.72</v>
      </c>
      <c r="P44" s="245">
        <f>'Rider Rates'!$D$91</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0.24140039999999999</v>
      </c>
      <c r="J46" s="120">
        <f t="shared" si="0"/>
        <v>0.24140039999999999</v>
      </c>
      <c r="K46" s="104"/>
      <c r="L46" s="105"/>
      <c r="M46" s="105"/>
      <c r="N46" s="105">
        <f>ROUND(D46*I46,2)</f>
        <v>2.27</v>
      </c>
      <c r="O46" s="105">
        <f t="shared" si="2"/>
        <v>2.27</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26.639999999999997</v>
      </c>
      <c r="O55" s="169">
        <f t="shared" si="3"/>
        <v>26.639999999999997</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36.04</v>
      </c>
      <c r="O57" s="187">
        <f>O23+O55</f>
        <v>36.04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36.04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36.04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topLeftCell="A25" zoomScale="80" zoomScaleNormal="80" workbookViewId="0">
      <selection activeCell="D39" sqref="D3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274</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267">
        <f ca="1">TODAY()</f>
        <v>45806</v>
      </c>
      <c r="B6" s="210" t="s">
        <v>273</v>
      </c>
      <c r="C6" s="267"/>
      <c r="D6" s="267"/>
      <c r="E6" s="267"/>
      <c r="F6" s="267"/>
      <c r="G6" s="267"/>
      <c r="H6" s="267"/>
      <c r="I6" s="267"/>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6</v>
      </c>
      <c r="C10" s="194" t="str">
        <f>LOOKUP(B10,R10:AD10,R11:AD11)</f>
        <v>June</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08" t="s">
        <v>15</v>
      </c>
      <c r="E18" s="508"/>
      <c r="F18" s="508"/>
      <c r="G18" s="508"/>
      <c r="H18" s="508"/>
      <c r="K18" s="31"/>
      <c r="L18" s="31"/>
      <c r="M18" s="31"/>
      <c r="N18" s="31"/>
      <c r="O18" s="50"/>
    </row>
    <row r="19" spans="1:30" x14ac:dyDescent="0.2">
      <c r="A19" s="31" t="s">
        <v>15</v>
      </c>
      <c r="B19" s="31"/>
      <c r="C19" s="82" t="s">
        <v>15</v>
      </c>
      <c r="D19" s="508" t="s">
        <v>15</v>
      </c>
      <c r="E19" s="508"/>
      <c r="F19" s="508"/>
      <c r="G19" s="508"/>
      <c r="H19" s="508"/>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0" t="s">
        <v>68</v>
      </c>
      <c r="H21" s="491"/>
      <c r="I21" s="491"/>
      <c r="J21" s="492"/>
      <c r="K21" s="22"/>
      <c r="L21" s="493" t="s">
        <v>69</v>
      </c>
      <c r="M21" s="493"/>
      <c r="N21" s="493"/>
      <c r="O21" s="493"/>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9.4</v>
      </c>
      <c r="J23" s="86">
        <f>SUM(G23:I23)</f>
        <v>9.4</v>
      </c>
      <c r="L23" s="88"/>
      <c r="M23" s="88"/>
      <c r="N23" s="88">
        <f>I23</f>
        <v>9.4</v>
      </c>
      <c r="O23" s="209">
        <f>SUM(L23:N23)</f>
        <v>9.4</v>
      </c>
      <c r="P23" s="245">
        <v>44531</v>
      </c>
    </row>
    <row r="24" spans="1:30" x14ac:dyDescent="0.2">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x14ac:dyDescent="0.2">
      <c r="A25" s="37" t="s">
        <v>50</v>
      </c>
      <c r="B25" s="37"/>
      <c r="C25" s="37"/>
      <c r="D25" s="38"/>
      <c r="E25" s="38"/>
      <c r="F25" s="37"/>
      <c r="G25" s="37"/>
      <c r="H25" s="37"/>
      <c r="I25" s="37"/>
      <c r="J25" s="37"/>
      <c r="K25" s="39"/>
      <c r="L25" s="40"/>
      <c r="M25" s="40"/>
      <c r="N25" s="40">
        <f>SUM(N23:N24)</f>
        <v>9.4</v>
      </c>
      <c r="O25" s="40">
        <f>SUM(O23:O24)</f>
        <v>9.4</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Rates'!B23</f>
        <v>7.6880000000000004E-2</v>
      </c>
      <c r="H35" s="103"/>
      <c r="I35" s="103"/>
      <c r="J35" s="237">
        <f>SUM(G35:H35)</f>
        <v>7.6880000000000004E-2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Rates'!B34</f>
        <v>1.8180000000000002E-2</v>
      </c>
      <c r="H36" s="103"/>
      <c r="I36" s="103"/>
      <c r="J36" s="237">
        <f>SUM(G36:H36)</f>
        <v>1.8180000000000002E-2</v>
      </c>
      <c r="K36" s="104" t="s">
        <v>42</v>
      </c>
      <c r="L36" s="105">
        <f>ROUND(D36*G36,2)</f>
        <v>0</v>
      </c>
      <c r="M36" s="105"/>
      <c r="N36" s="105"/>
      <c r="O36" s="105">
        <f t="shared" si="0"/>
        <v>0</v>
      </c>
      <c r="P36" s="245">
        <f>'Rider Rates'!$D$34</f>
        <v>45809</v>
      </c>
    </row>
    <row r="37" spans="1:221" x14ac:dyDescent="0.2">
      <c r="A37" s="210" t="s">
        <v>193</v>
      </c>
      <c r="B37" s="78"/>
      <c r="C37" s="78"/>
      <c r="D37" s="100">
        <f>'Customer Info'!$B$21+'Customer Info'!$B$22-'Customer Info'!$B$23</f>
        <v>0</v>
      </c>
      <c r="E37" s="101" t="s">
        <v>41</v>
      </c>
      <c r="F37" s="102" t="s">
        <v>8</v>
      </c>
      <c r="G37" s="103">
        <f>'Rider Rates'!$B$45</f>
        <v>-4.1073000000000004E-3</v>
      </c>
      <c r="H37" s="103"/>
      <c r="I37" s="103"/>
      <c r="J37" s="237">
        <f>SUM(G37:H37)</f>
        <v>-4.1073000000000004E-3</v>
      </c>
      <c r="K37" s="104" t="s">
        <v>42</v>
      </c>
      <c r="L37" s="105">
        <f>ROUND(D37*G37,2)</f>
        <v>0</v>
      </c>
      <c r="M37" s="105"/>
      <c r="N37" s="105"/>
      <c r="O37" s="105">
        <f t="shared" si="0"/>
        <v>0</v>
      </c>
      <c r="P37" s="245">
        <f>'Rider Rates'!$D$45</f>
        <v>45747</v>
      </c>
    </row>
    <row r="38" spans="1:221" x14ac:dyDescent="0.2">
      <c r="A38" s="241" t="s">
        <v>210</v>
      </c>
      <c r="B38" s="78"/>
      <c r="C38" s="78"/>
      <c r="D38" s="1">
        <f>IF($C$16&lt;0,0,IF($C$16&gt;833000,833000,$C$16))</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45658</v>
      </c>
    </row>
    <row r="39" spans="1:221" x14ac:dyDescent="0.2">
      <c r="A39" s="210" t="s">
        <v>189</v>
      </c>
      <c r="B39" s="78"/>
      <c r="C39" s="78"/>
      <c r="D39" s="1">
        <f>IF($C$16&lt;0,0,$C$16)</f>
        <v>0</v>
      </c>
      <c r="E39" s="113" t="s">
        <v>41</v>
      </c>
      <c r="F39" s="102" t="s">
        <v>8</v>
      </c>
      <c r="G39" s="103"/>
      <c r="H39" s="103">
        <f>'Rider Rates'!G55</f>
        <v>1.9706999999999999E-2</v>
      </c>
      <c r="I39" s="103"/>
      <c r="J39" s="103">
        <f>SUM(G39:I39)</f>
        <v>1.9706999999999999E-2</v>
      </c>
      <c r="K39" s="104" t="s">
        <v>42</v>
      </c>
      <c r="L39" s="105"/>
      <c r="M39" s="105">
        <f>ROUND(D39*H39,2)</f>
        <v>0</v>
      </c>
      <c r="N39" s="205"/>
      <c r="O39" s="105">
        <f t="shared" si="0"/>
        <v>0</v>
      </c>
      <c r="P39" s="245">
        <f>'Rider Rates'!H55</f>
        <v>45747</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9.4</v>
      </c>
      <c r="E41" s="101" t="s">
        <v>122</v>
      </c>
      <c r="F41" s="102" t="s">
        <v>8</v>
      </c>
      <c r="G41" s="111"/>
      <c r="H41" s="112"/>
      <c r="I41" s="120">
        <f>'Rider Rates'!$B$85</f>
        <v>1.9512100000000001E-2</v>
      </c>
      <c r="J41" s="120">
        <f>SUM(H41:I41)</f>
        <v>1.9512100000000001E-2</v>
      </c>
      <c r="K41" s="104"/>
      <c r="L41" s="105"/>
      <c r="M41" s="105"/>
      <c r="N41" s="105">
        <f>ROUND(N$25*I41,2)</f>
        <v>0.18</v>
      </c>
      <c r="O41" s="209">
        <f t="shared" si="0"/>
        <v>0.18</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9.4</v>
      </c>
      <c r="E42" s="101" t="s">
        <v>122</v>
      </c>
      <c r="F42" s="102" t="s">
        <v>8</v>
      </c>
      <c r="G42" s="114"/>
      <c r="H42" s="115"/>
      <c r="I42" s="120">
        <f>'Rider Rates'!$B$87</f>
        <v>6.6985699999999995E-2</v>
      </c>
      <c r="J42" s="120">
        <f>SUM(H42:I42)</f>
        <v>6.6985699999999995E-2</v>
      </c>
      <c r="K42" s="104"/>
      <c r="L42" s="105"/>
      <c r="M42" s="105"/>
      <c r="N42" s="105">
        <f>ROUND(N$25*I42,2)</f>
        <v>0.63</v>
      </c>
      <c r="O42" s="209">
        <f t="shared" si="0"/>
        <v>0.63</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18.72</v>
      </c>
      <c r="J43" s="196">
        <f>SUM(G43:I43)</f>
        <v>18.72</v>
      </c>
      <c r="K43" s="104"/>
      <c r="L43" s="105"/>
      <c r="M43" s="105"/>
      <c r="N43" s="105">
        <f>I43</f>
        <v>18.72</v>
      </c>
      <c r="O43" s="105">
        <f>SUM(L43:N43)</f>
        <v>18.72</v>
      </c>
      <c r="P43" s="245">
        <f>'Rider Rates'!$D$91</f>
        <v>45747</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9.4</v>
      </c>
      <c r="E46" s="101" t="s">
        <v>122</v>
      </c>
      <c r="F46" s="102" t="s">
        <v>8</v>
      </c>
      <c r="G46" s="114"/>
      <c r="H46" s="115"/>
      <c r="I46" s="120">
        <f>'Rider Rates'!$B$105</f>
        <v>0.24140039999999999</v>
      </c>
      <c r="J46" s="120">
        <f>SUM(H46:I46)</f>
        <v>0.24140039999999999</v>
      </c>
      <c r="K46" s="104"/>
      <c r="L46" s="105"/>
      <c r="M46" s="105"/>
      <c r="N46" s="105">
        <f>ROUND(N$25*I46,2)</f>
        <v>2.27</v>
      </c>
      <c r="O46" s="105">
        <f t="shared" si="0"/>
        <v>2.27</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1"/>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 t="shared" si="1"/>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26.639999999999997</v>
      </c>
      <c r="O55" s="169">
        <f t="shared" si="2"/>
        <v>26.639999999999997</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36.04</v>
      </c>
      <c r="O57" s="98">
        <f>O25+O55</f>
        <v>36.04</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36.04</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36.04</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8"/>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sheetData>
  <sheetProtection algorithmName="SHA-512" hashValue="x700S2t4F0pYA7GnLWxWDpBXbuqOvbn4efM7/kJxT9NAlCsaxwn2b/17bhsiIJK7jXjpDexNz++pKv2uyhKLwA==" saltValue="jBCNS3hWwWHMs9nB4VW1Pw=="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topLeftCell="A28" zoomScale="80" zoomScaleNormal="80" workbookViewId="0">
      <selection activeCell="D39" sqref="D3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262</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267">
        <f ca="1">TODAY()</f>
        <v>45806</v>
      </c>
      <c r="B6" s="210" t="s">
        <v>261</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6</v>
      </c>
      <c r="C10" s="194" t="str">
        <f>LOOKUP(B10,R10:AD10,R11:AD11)</f>
        <v>June</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08" t="s">
        <v>15</v>
      </c>
      <c r="E18" s="508"/>
      <c r="F18" s="508"/>
      <c r="G18" s="508"/>
      <c r="H18" s="508"/>
      <c r="K18" s="31"/>
      <c r="L18" s="31"/>
      <c r="M18" s="31"/>
      <c r="N18" s="31"/>
      <c r="O18" s="50"/>
    </row>
    <row r="19" spans="1:30" x14ac:dyDescent="0.2">
      <c r="A19" s="31" t="s">
        <v>15</v>
      </c>
      <c r="B19" s="31"/>
      <c r="C19" s="82" t="s">
        <v>15</v>
      </c>
      <c r="D19" s="508" t="s">
        <v>15</v>
      </c>
      <c r="E19" s="508"/>
      <c r="F19" s="508"/>
      <c r="G19" s="508"/>
      <c r="H19" s="508"/>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0" t="s">
        <v>68</v>
      </c>
      <c r="H21" s="491"/>
      <c r="I21" s="491"/>
      <c r="J21" s="492"/>
      <c r="K21" s="22"/>
      <c r="L21" s="493" t="s">
        <v>69</v>
      </c>
      <c r="M21" s="493"/>
      <c r="N21" s="493"/>
      <c r="O21" s="493"/>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138.5</v>
      </c>
      <c r="J23" s="86">
        <f>SUM(G23:I23)</f>
        <v>138.5</v>
      </c>
      <c r="L23" s="88"/>
      <c r="M23" s="88"/>
      <c r="N23" s="88">
        <f>I23</f>
        <v>138.5</v>
      </c>
      <c r="O23" s="209">
        <f>SUM(L23:N23)</f>
        <v>138.5</v>
      </c>
      <c r="P23" s="245">
        <v>44531</v>
      </c>
    </row>
    <row r="24" spans="1:30" x14ac:dyDescent="0.2">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
      <c r="A25" s="37" t="s">
        <v>50</v>
      </c>
      <c r="B25" s="37"/>
      <c r="C25" s="37"/>
      <c r="D25" s="38"/>
      <c r="E25" s="38"/>
      <c r="F25" s="37"/>
      <c r="G25" s="37"/>
      <c r="H25" s="37"/>
      <c r="I25" s="37"/>
      <c r="J25" s="37"/>
      <c r="K25" s="39"/>
      <c r="L25" s="40"/>
      <c r="M25" s="40"/>
      <c r="N25" s="40">
        <f>SUM(N23:N24)</f>
        <v>138.5</v>
      </c>
      <c r="O25" s="40">
        <f>SUM(O23:O24)</f>
        <v>138.5</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Rates'!B24</f>
        <v>7.4289999999999995E-2</v>
      </c>
      <c r="H35" s="103"/>
      <c r="I35" s="103"/>
      <c r="J35" s="237">
        <f>SUM(G35:H35)</f>
        <v>7.4289999999999995E-2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Rates'!$B$37</f>
        <v>1.3849999999999999E-2</v>
      </c>
      <c r="H36" s="103"/>
      <c r="I36" s="103"/>
      <c r="J36" s="237">
        <f>SUM(G36:H36)</f>
        <v>1.3849999999999999E-2</v>
      </c>
      <c r="K36" s="104" t="s">
        <v>42</v>
      </c>
      <c r="L36" s="105">
        <f>ROUND(D36*G36,2)</f>
        <v>0</v>
      </c>
      <c r="M36" s="105"/>
      <c r="N36" s="105"/>
      <c r="O36" s="105">
        <f t="shared" si="0"/>
        <v>0</v>
      </c>
      <c r="P36" s="245">
        <f>'Rider Rates'!$D$37</f>
        <v>45809</v>
      </c>
    </row>
    <row r="37" spans="1:221" x14ac:dyDescent="0.2">
      <c r="A37" s="210" t="s">
        <v>193</v>
      </c>
      <c r="B37" s="78"/>
      <c r="C37" s="78"/>
      <c r="D37" s="100">
        <f>'Customer Info'!$B$21+'Customer Info'!$B$22-'Customer Info'!$B$23</f>
        <v>0</v>
      </c>
      <c r="E37" s="101" t="s">
        <v>41</v>
      </c>
      <c r="F37" s="102" t="s">
        <v>8</v>
      </c>
      <c r="G37" s="103">
        <f>'Rider Rates'!$B$45</f>
        <v>-4.1073000000000004E-3</v>
      </c>
      <c r="H37" s="103"/>
      <c r="I37" s="103"/>
      <c r="J37" s="237">
        <f>SUM(G37:H37)</f>
        <v>-4.1073000000000004E-3</v>
      </c>
      <c r="K37" s="104" t="s">
        <v>42</v>
      </c>
      <c r="L37" s="105">
        <f>ROUND(D37*G37,2)</f>
        <v>0</v>
      </c>
      <c r="M37" s="105"/>
      <c r="N37" s="105"/>
      <c r="O37" s="105">
        <f t="shared" si="0"/>
        <v>0</v>
      </c>
      <c r="P37" s="245">
        <f>'Rider Rates'!$D$45</f>
        <v>45747</v>
      </c>
    </row>
    <row r="38" spans="1:221" x14ac:dyDescent="0.2">
      <c r="A38" s="241" t="s">
        <v>210</v>
      </c>
      <c r="B38" s="78"/>
      <c r="C38" s="78"/>
      <c r="D38" s="100">
        <f>'Customer Info'!$B$21+'Customer Info'!$B$22-'Customer Info'!$B$23</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45658</v>
      </c>
    </row>
    <row r="39" spans="1:221" x14ac:dyDescent="0.2">
      <c r="A39" s="210" t="s">
        <v>189</v>
      </c>
      <c r="B39" s="78"/>
      <c r="C39" s="78"/>
      <c r="D39" s="1">
        <f>IF($C$16&lt;0,0,$C$16)</f>
        <v>0</v>
      </c>
      <c r="E39" s="113" t="s">
        <v>41</v>
      </c>
      <c r="F39" s="102" t="s">
        <v>8</v>
      </c>
      <c r="G39" s="103"/>
      <c r="H39" s="103">
        <f>'Rider Rates'!G56</f>
        <v>2.7207599999999998E-2</v>
      </c>
      <c r="I39" s="103"/>
      <c r="J39" s="103">
        <f>SUM(G39:I39)</f>
        <v>2.7207599999999998E-2</v>
      </c>
      <c r="K39" s="104" t="s">
        <v>42</v>
      </c>
      <c r="L39" s="105"/>
      <c r="M39" s="105">
        <f>ROUND(D39*H39,2)</f>
        <v>0</v>
      </c>
      <c r="N39" s="205"/>
      <c r="O39" s="105">
        <f t="shared" si="0"/>
        <v>0</v>
      </c>
      <c r="P39" s="245">
        <f>'Rider Rates'!H56</f>
        <v>45747</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138.5</v>
      </c>
      <c r="E41" s="101" t="s">
        <v>122</v>
      </c>
      <c r="F41" s="102" t="s">
        <v>8</v>
      </c>
      <c r="G41" s="111"/>
      <c r="H41" s="112"/>
      <c r="I41" s="120">
        <f>'Rider Rates'!$B$85</f>
        <v>1.9512100000000001E-2</v>
      </c>
      <c r="J41" s="120">
        <f>SUM(H41:I41)</f>
        <v>1.9512100000000001E-2</v>
      </c>
      <c r="K41" s="104"/>
      <c r="L41" s="105"/>
      <c r="M41" s="105"/>
      <c r="N41" s="105">
        <f>ROUND(N$25*I41,2)</f>
        <v>2.7</v>
      </c>
      <c r="O41" s="209">
        <f t="shared" si="0"/>
        <v>2.7</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138.5</v>
      </c>
      <c r="E42" s="101" t="s">
        <v>122</v>
      </c>
      <c r="F42" s="102" t="s">
        <v>8</v>
      </c>
      <c r="G42" s="114"/>
      <c r="H42" s="115"/>
      <c r="I42" s="120">
        <f>'Rider Rates'!$B$87</f>
        <v>6.6985699999999995E-2</v>
      </c>
      <c r="J42" s="120">
        <f>SUM(H42:I42)</f>
        <v>6.6985699999999995E-2</v>
      </c>
      <c r="K42" s="104"/>
      <c r="L42" s="105"/>
      <c r="M42" s="105"/>
      <c r="N42" s="105">
        <f>ROUND(N$25*I42,2)</f>
        <v>9.2799999999999994</v>
      </c>
      <c r="O42" s="209">
        <f t="shared" si="0"/>
        <v>9.2799999999999994</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18.72</v>
      </c>
      <c r="J43" s="196">
        <f>SUM(G43:I43)</f>
        <v>18.72</v>
      </c>
      <c r="K43" s="104"/>
      <c r="L43" s="105"/>
      <c r="M43" s="105"/>
      <c r="N43" s="105">
        <f>I43</f>
        <v>18.72</v>
      </c>
      <c r="O43" s="105">
        <f>SUM(L43:N43)</f>
        <v>18.72</v>
      </c>
      <c r="P43" s="245">
        <f>'Rider Rates'!$D$91</f>
        <v>45747</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138.5</v>
      </c>
      <c r="E46" s="101" t="s">
        <v>122</v>
      </c>
      <c r="F46" s="102" t="s">
        <v>8</v>
      </c>
      <c r="G46" s="114"/>
      <c r="H46" s="115"/>
      <c r="I46" s="120">
        <f>'Rider Rates'!$B$105</f>
        <v>0.24140039999999999</v>
      </c>
      <c r="J46" s="120">
        <f>SUM(H46:I46)</f>
        <v>0.24140039999999999</v>
      </c>
      <c r="K46" s="104"/>
      <c r="L46" s="105"/>
      <c r="M46" s="105"/>
      <c r="N46" s="105">
        <f>ROUND(N$25*I46,2)</f>
        <v>33.43</v>
      </c>
      <c r="O46" s="105">
        <f t="shared" si="0"/>
        <v>33.43</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Rates'!$B$113</f>
        <v>3.7618E-3</v>
      </c>
      <c r="H48" s="103"/>
      <c r="I48" s="120"/>
      <c r="J48" s="237">
        <f>SUM(G48:H48)</f>
        <v>3.7618E-3</v>
      </c>
      <c r="K48" s="104" t="s">
        <v>42</v>
      </c>
      <c r="L48" s="105">
        <f>ROUND(D48*G48,2)</f>
        <v>0</v>
      </c>
      <c r="M48" s="105"/>
      <c r="N48" s="105"/>
      <c r="O48" s="105">
        <f t="shared" si="1"/>
        <v>0</v>
      </c>
      <c r="P48" s="245">
        <f>'Rider Rates'!$D$113</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 t="shared" si="1"/>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68.97</v>
      </c>
      <c r="O55" s="169">
        <f t="shared" si="2"/>
        <v>68.97</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207.47</v>
      </c>
      <c r="O57" s="98">
        <f>O25+O55</f>
        <v>207.47</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207.47</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207.47</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8"/>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sheetData>
  <sheetProtection algorithmName="SHA-512" hashValue="kQmiaSKsXAOp099DA79zKtrj73B3ibi/D7DmV82pPW42uWqFRWs5Vv+hfDxXH7PXARW88wzrYfpyXauhOcM5Lw==" saltValue="68kDol5wR1awdP8cBa0m2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5"/>
  <sheetViews>
    <sheetView topLeftCell="A31"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323</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45806</v>
      </c>
      <c r="B6" s="384" t="s">
        <v>324</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6</v>
      </c>
      <c r="C11" s="340" t="str">
        <f>LOOKUP(B11,R11:AD11,R12:AD12)</f>
        <v>June</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Rates'!B143</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f>'Rider Rates'!B22</f>
        <v>7.6880000000000004E-2</v>
      </c>
      <c r="H34" s="386"/>
      <c r="I34" s="386"/>
      <c r="J34" s="393">
        <f>SUM(G34:H34)</f>
        <v>7.6880000000000004E-2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f>'Rider Rates'!B41</f>
        <v>2.10674E-2</v>
      </c>
      <c r="H35" s="386"/>
      <c r="I35" s="386"/>
      <c r="J35" s="393">
        <f>SUM(G35:H35)</f>
        <v>2.10674E-2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f>'Rider Rates'!C41</f>
        <v>9.0900000000000009E-3</v>
      </c>
      <c r="H36" s="386"/>
      <c r="I36" s="386"/>
      <c r="J36" s="393">
        <f>SUM(G36:H36)</f>
        <v>9.0900000000000009E-3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-4.1073000000000004E-3</v>
      </c>
      <c r="H37" s="386"/>
      <c r="I37" s="386"/>
      <c r="J37" s="393">
        <f>SUM(G37:H37)</f>
        <v>-4.1073000000000004E-3</v>
      </c>
      <c r="K37" s="364" t="s">
        <v>42</v>
      </c>
      <c r="L37" s="250">
        <f>ROUND(D37*G37,2)</f>
        <v>0</v>
      </c>
      <c r="M37" s="250"/>
      <c r="N37" s="250"/>
      <c r="O37" s="250">
        <f t="shared" si="2"/>
        <v>0</v>
      </c>
      <c r="P37" s="358">
        <f>'Rider Rates'!$D$45</f>
        <v>45747</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1.8006999999999999E-3</v>
      </c>
      <c r="J38" s="386">
        <f>SUM(G38:I38)</f>
        <v>1.8006999999999999E-3</v>
      </c>
      <c r="K38" s="364" t="s">
        <v>42</v>
      </c>
      <c r="L38" s="250"/>
      <c r="M38" s="250"/>
      <c r="N38" s="250">
        <f>D38*J38</f>
        <v>0</v>
      </c>
      <c r="O38" s="250">
        <f t="shared" si="2"/>
        <v>0</v>
      </c>
      <c r="P38" s="358">
        <f>'Rider Rates'!E49</f>
        <v>45658</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1.9512100000000001E-2</v>
      </c>
      <c r="J42" s="398">
        <f t="shared" si="0"/>
        <v>1.9512100000000001E-2</v>
      </c>
      <c r="K42" s="364"/>
      <c r="L42" s="250"/>
      <c r="M42" s="250"/>
      <c r="N42" s="250">
        <f>ROUND(D42*I42,2)</f>
        <v>0.18</v>
      </c>
      <c r="O42" s="250">
        <f t="shared" si="2"/>
        <v>0.18</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18.72</v>
      </c>
      <c r="J44" s="400">
        <f t="shared" si="0"/>
        <v>18.72</v>
      </c>
      <c r="K44" s="364"/>
      <c r="L44" s="250"/>
      <c r="M44" s="250"/>
      <c r="N44" s="250">
        <f>I44</f>
        <v>18.72</v>
      </c>
      <c r="O44" s="250">
        <f t="shared" si="2"/>
        <v>18.72</v>
      </c>
      <c r="P44" s="358">
        <f>'Rider Rates'!$D$91</f>
        <v>45747</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0.24140039999999999</v>
      </c>
      <c r="J46" s="398">
        <f t="shared" si="0"/>
        <v>0.24140039999999999</v>
      </c>
      <c r="K46" s="364"/>
      <c r="L46" s="250"/>
      <c r="M46" s="250"/>
      <c r="N46" s="250">
        <f>ROUND(D46*I46,2)</f>
        <v>2.27</v>
      </c>
      <c r="O46" s="250">
        <f t="shared" si="2"/>
        <v>2.27</v>
      </c>
      <c r="P46" s="358">
        <f>'Rider Rates'!$D$105</f>
        <v>45716</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Rates'!$B$112</f>
        <v>3.8972999999999998E-3</v>
      </c>
      <c r="H48" s="386"/>
      <c r="I48" s="398"/>
      <c r="J48" s="393">
        <f>SUM(G48:H48)</f>
        <v>3.8972999999999998E-3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26.639999999999997</v>
      </c>
      <c r="O55" s="412">
        <f t="shared" si="3"/>
        <v>26.639999999999997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36.04</v>
      </c>
      <c r="O57" s="417">
        <f>O23+O55</f>
        <v>36.04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36.04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36.04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5"/>
  <sheetViews>
    <sheetView topLeftCell="A30"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327</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45806</v>
      </c>
      <c r="B6" s="384" t="s">
        <v>325</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6</v>
      </c>
      <c r="C11" s="340" t="str">
        <f>LOOKUP(B11,R11:AD11,R12:AD12)</f>
        <v>June</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Rates'!B144</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Rates'!B24</f>
        <v>7.4289999999999995E-2</v>
      </c>
      <c r="H34" s="386"/>
      <c r="I34" s="386"/>
      <c r="J34" s="393">
        <f>SUM(G34:H34)</f>
        <v>7.4289999999999995E-2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Rates'!B42</f>
        <v>0.163969</v>
      </c>
      <c r="H35" s="386"/>
      <c r="I35" s="386"/>
      <c r="J35" s="393">
        <f>SUM(G35:H35)</f>
        <v>0.163969</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Rates'!C42</f>
        <v>6.9249999999999997E-3</v>
      </c>
      <c r="H36" s="386"/>
      <c r="I36" s="386"/>
      <c r="J36" s="393">
        <f>SUM(G36:H36)</f>
        <v>6.9249999999999997E-3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-4.1073000000000004E-3</v>
      </c>
      <c r="H37" s="386"/>
      <c r="I37" s="386"/>
      <c r="J37" s="393">
        <f>SUM(G37:H37)</f>
        <v>-4.1073000000000004E-3</v>
      </c>
      <c r="K37" s="364" t="s">
        <v>42</v>
      </c>
      <c r="L37" s="250">
        <f>ROUND(D37*G37,2)</f>
        <v>0</v>
      </c>
      <c r="M37" s="250"/>
      <c r="N37" s="250"/>
      <c r="O37" s="250">
        <f t="shared" si="2"/>
        <v>0</v>
      </c>
      <c r="P37" s="358">
        <f>'Rider Rates'!$D$45</f>
        <v>45747</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1.8006999999999999E-3</v>
      </c>
      <c r="J38" s="386">
        <f>SUM(G38:I38)</f>
        <v>1.8006999999999999E-3</v>
      </c>
      <c r="K38" s="364" t="s">
        <v>42</v>
      </c>
      <c r="L38" s="250"/>
      <c r="M38" s="250"/>
      <c r="N38" s="250">
        <f>D38*J38</f>
        <v>0</v>
      </c>
      <c r="O38" s="250">
        <f t="shared" si="2"/>
        <v>0</v>
      </c>
      <c r="P38" s="358">
        <f>'Rider Rates'!E49</f>
        <v>45658</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1.9512100000000001E-2</v>
      </c>
      <c r="J42" s="398">
        <f t="shared" si="0"/>
        <v>1.9512100000000001E-2</v>
      </c>
      <c r="K42" s="364"/>
      <c r="L42" s="250"/>
      <c r="M42" s="250"/>
      <c r="N42" s="250">
        <f>ROUND(D42*I42,2)</f>
        <v>2.7</v>
      </c>
      <c r="O42" s="250">
        <f t="shared" si="2"/>
        <v>2.7</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18.72</v>
      </c>
      <c r="J44" s="400">
        <f t="shared" si="0"/>
        <v>18.72</v>
      </c>
      <c r="K44" s="364"/>
      <c r="L44" s="250"/>
      <c r="M44" s="250"/>
      <c r="N44" s="250">
        <f>I44</f>
        <v>18.72</v>
      </c>
      <c r="O44" s="250">
        <f t="shared" si="2"/>
        <v>18.72</v>
      </c>
      <c r="P44" s="358">
        <f>'Rider Rates'!$D$91</f>
        <v>45747</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0.24140039999999999</v>
      </c>
      <c r="J46" s="398">
        <f t="shared" si="0"/>
        <v>0.24140039999999999</v>
      </c>
      <c r="K46" s="364"/>
      <c r="L46" s="250"/>
      <c r="M46" s="250"/>
      <c r="N46" s="250">
        <f>ROUND(D46*I46,2)</f>
        <v>33.43</v>
      </c>
      <c r="O46" s="250">
        <f t="shared" si="2"/>
        <v>33.43</v>
      </c>
      <c r="P46" s="358">
        <f>'Rider Rates'!$D$105</f>
        <v>45716</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Rates'!B113</f>
        <v>3.7618E-3</v>
      </c>
      <c r="H48" s="386"/>
      <c r="I48" s="398"/>
      <c r="J48" s="393">
        <f>SUM(G48:H48)</f>
        <v>3.7618E-3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68.97</v>
      </c>
      <c r="O55" s="412">
        <f t="shared" si="4"/>
        <v>68.97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207.47</v>
      </c>
      <c r="O57" s="417">
        <f>O23+O55</f>
        <v>207.47</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207.47</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207.47</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5"/>
  <sheetViews>
    <sheetView topLeftCell="A27"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326</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45806</v>
      </c>
      <c r="B6" s="384" t="s">
        <v>328</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6</v>
      </c>
      <c r="C11" s="340" t="str">
        <f>LOOKUP(B11,R11:AD11,R12:AD12)</f>
        <v>June</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Rates'!B145</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Rates'!B25</f>
        <v>7.2950000000000001E-2</v>
      </c>
      <c r="H34" s="386"/>
      <c r="I34" s="386"/>
      <c r="J34" s="393">
        <f>SUM(G34:H34)</f>
        <v>7.2950000000000001E-2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Rates'!B43</f>
        <v>1.9659699999999999E-2</v>
      </c>
      <c r="H35" s="386"/>
      <c r="I35" s="386"/>
      <c r="J35" s="393">
        <f>SUM(G35:H35)</f>
        <v>1.9659699999999999E-2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Rates'!C43</f>
        <v>8.1499999999999993E-3</v>
      </c>
      <c r="H36" s="386"/>
      <c r="I36" s="386"/>
      <c r="J36" s="393">
        <f>SUM(G36:H36)</f>
        <v>8.1499999999999993E-3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-4.1073000000000004E-3</v>
      </c>
      <c r="H37" s="386"/>
      <c r="I37" s="386"/>
      <c r="J37" s="393">
        <f>SUM(G37:H37)</f>
        <v>-4.1073000000000004E-3</v>
      </c>
      <c r="K37" s="364" t="s">
        <v>42</v>
      </c>
      <c r="L37" s="250">
        <f>ROUND(D37*G37,2)</f>
        <v>0</v>
      </c>
      <c r="M37" s="250"/>
      <c r="N37" s="250"/>
      <c r="O37" s="250">
        <f t="shared" si="2"/>
        <v>0</v>
      </c>
      <c r="P37" s="358">
        <f>'Rider Rates'!$D$45</f>
        <v>45747</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1.8006999999999999E-3</v>
      </c>
      <c r="J38" s="386">
        <f>SUM(G38:I38)</f>
        <v>1.8006999999999999E-3</v>
      </c>
      <c r="K38" s="364" t="s">
        <v>42</v>
      </c>
      <c r="L38" s="250"/>
      <c r="M38" s="250"/>
      <c r="N38" s="250">
        <f>D38*J38</f>
        <v>0</v>
      </c>
      <c r="O38" s="250">
        <f t="shared" si="2"/>
        <v>0</v>
      </c>
      <c r="P38" s="358">
        <f>'Rider Rates'!E49</f>
        <v>45658</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1.9512100000000001E-2</v>
      </c>
      <c r="J42" s="398">
        <f t="shared" si="0"/>
        <v>1.9512100000000001E-2</v>
      </c>
      <c r="K42" s="364"/>
      <c r="L42" s="250"/>
      <c r="M42" s="250"/>
      <c r="N42" s="250">
        <f>ROUND(D42*I42,2)</f>
        <v>16.100000000000001</v>
      </c>
      <c r="O42" s="250">
        <f t="shared" si="2"/>
        <v>16.100000000000001</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18.72</v>
      </c>
      <c r="J44" s="400">
        <f t="shared" si="0"/>
        <v>18.72</v>
      </c>
      <c r="K44" s="364"/>
      <c r="L44" s="250"/>
      <c r="M44" s="250"/>
      <c r="N44" s="250">
        <f>I44</f>
        <v>18.72</v>
      </c>
      <c r="O44" s="250">
        <f t="shared" si="2"/>
        <v>18.72</v>
      </c>
      <c r="P44" s="358">
        <f>'Rider Rates'!$D$91</f>
        <v>45747</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0.24140039999999999</v>
      </c>
      <c r="J46" s="398">
        <f t="shared" si="0"/>
        <v>0.24140039999999999</v>
      </c>
      <c r="K46" s="364"/>
      <c r="L46" s="250"/>
      <c r="M46" s="250"/>
      <c r="N46" s="250">
        <f>ROUND(D46*I46,2)</f>
        <v>199.16</v>
      </c>
      <c r="O46" s="250">
        <f t="shared" si="2"/>
        <v>199.16</v>
      </c>
      <c r="P46" s="358">
        <f>'Rider Rates'!$D$105</f>
        <v>45716</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Rates'!B114</f>
        <v>3.6865999999999999E-3</v>
      </c>
      <c r="H48" s="386"/>
      <c r="I48" s="398"/>
      <c r="J48" s="393">
        <f>SUM(G48:H48)</f>
        <v>3.6865999999999999E-3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294.08</v>
      </c>
      <c r="O55" s="412">
        <f t="shared" si="4"/>
        <v>294.08</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1119.08</v>
      </c>
      <c r="O57" s="417">
        <f>O23+O55</f>
        <v>1119.08</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1119.08</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1119.08</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topLeftCell="A19" zoomScale="80" zoomScaleNormal="80" workbookViewId="0">
      <selection activeCell="D45" sqref="D45"/>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257</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76">
        <f ca="1">TODAY()</f>
        <v>45806</v>
      </c>
      <c r="B6" s="210" t="s">
        <v>254</v>
      </c>
      <c r="C6" s="76"/>
      <c r="D6" s="76"/>
      <c r="E6" s="76"/>
      <c r="F6" s="76"/>
      <c r="G6" s="76"/>
      <c r="H6" s="76"/>
      <c r="I6" s="76"/>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6</v>
      </c>
      <c r="C10" s="194" t="str">
        <f>LOOKUP(B10,R10:AD10,R11:AD11)</f>
        <v>June</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SEC'!C20,1),ROUND('Customer Info'!$B$19*'GS SEC'!C20,1))/'Customer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SEC'!C20,'Customer Info'!$B$19*'GS SEC'!C20)),1))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
      <c r="A42" s="210" t="s">
        <v>193</v>
      </c>
      <c r="B42" s="78"/>
      <c r="C42" s="78"/>
      <c r="D42" s="100">
        <f>'Customer Info'!$B$21+'Customer Info'!$B$22-'Customer Info'!$B$23</f>
        <v>0</v>
      </c>
      <c r="E42" s="101" t="s">
        <v>41</v>
      </c>
      <c r="F42" s="102" t="s">
        <v>8</v>
      </c>
      <c r="G42" s="103">
        <f>'Rider Rates'!$B$45</f>
        <v>-4.1073000000000004E-3</v>
      </c>
      <c r="H42" s="103"/>
      <c r="I42" s="103"/>
      <c r="J42" s="237">
        <f>SUM(G42:H42)</f>
        <v>-4.1073000000000004E-3</v>
      </c>
      <c r="K42" s="104" t="s">
        <v>42</v>
      </c>
      <c r="L42" s="105">
        <f>ROUND(D42*G42,2)</f>
        <v>0</v>
      </c>
      <c r="M42" s="105"/>
      <c r="N42" s="105"/>
      <c r="O42" s="105">
        <f t="shared" si="0"/>
        <v>0</v>
      </c>
      <c r="P42" s="245">
        <f>'Rider Rates'!$D$45</f>
        <v>45747</v>
      </c>
    </row>
    <row r="43" spans="1:220" x14ac:dyDescent="0.2">
      <c r="A43" s="241" t="s">
        <v>210</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45658</v>
      </c>
    </row>
    <row r="44" spans="1:220" x14ac:dyDescent="0.2">
      <c r="A44" s="210" t="s">
        <v>189</v>
      </c>
      <c r="B44" s="78"/>
      <c r="C44" s="78"/>
      <c r="D44" s="1">
        <f>IF($C$16&lt;0,0,$C$16)</f>
        <v>0</v>
      </c>
      <c r="E44" s="113" t="s">
        <v>41</v>
      </c>
      <c r="F44" s="102" t="s">
        <v>8</v>
      </c>
      <c r="G44" s="103"/>
      <c r="H44" s="103">
        <f>'Rider Rates'!$B$57</f>
        <v>4.5750000000000001E-4</v>
      </c>
      <c r="I44" s="103"/>
      <c r="J44" s="103">
        <f>SUM(G44:I44)</f>
        <v>4.5750000000000001E-4</v>
      </c>
      <c r="K44" s="104" t="s">
        <v>42</v>
      </c>
      <c r="L44" s="105"/>
      <c r="M44" s="105">
        <f>ROUND(D44*H44,2)</f>
        <v>0</v>
      </c>
      <c r="N44" s="205"/>
      <c r="O44" s="105">
        <f t="shared" si="0"/>
        <v>0</v>
      </c>
      <c r="P44" s="245">
        <f>'Rider Rates'!$D$57</f>
        <v>45747</v>
      </c>
    </row>
    <row r="45" spans="1:220" x14ac:dyDescent="0.2">
      <c r="A45" s="210" t="s">
        <v>189</v>
      </c>
      <c r="B45" s="78"/>
      <c r="C45" s="78"/>
      <c r="D45" s="49">
        <f>ROUND(MAX(D14,('Customer Info'!B14-100)*0.6,('Customer Info'!B16-100)*0.6),1)</f>
        <v>0</v>
      </c>
      <c r="E45" s="35" t="s">
        <v>64</v>
      </c>
      <c r="F45" s="4" t="s">
        <v>8</v>
      </c>
      <c r="G45" s="103"/>
      <c r="H45" s="239">
        <f>'Rider Rates'!$B$62</f>
        <v>6.95</v>
      </c>
      <c r="I45" s="103"/>
      <c r="J45" s="239">
        <f>SUM(G45:I45)</f>
        <v>6.95</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9.4</v>
      </c>
      <c r="E48" s="101" t="s">
        <v>122</v>
      </c>
      <c r="F48" s="102" t="s">
        <v>8</v>
      </c>
      <c r="G48" s="111"/>
      <c r="H48" s="112"/>
      <c r="I48" s="120">
        <f>'Rider Rates'!$B$85</f>
        <v>1.9512100000000001E-2</v>
      </c>
      <c r="J48" s="120">
        <f>SUM(H48:I48)</f>
        <v>1.9512100000000001E-2</v>
      </c>
      <c r="K48" s="104"/>
      <c r="L48" s="105"/>
      <c r="M48" s="105"/>
      <c r="N48" s="105">
        <f>ROUND(N$30*I48,2)</f>
        <v>0.18</v>
      </c>
      <c r="O48" s="209">
        <f t="shared" si="1"/>
        <v>0.18</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1"/>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18.72</v>
      </c>
      <c r="J50" s="196">
        <f>SUM(G50:I50)</f>
        <v>18.72</v>
      </c>
      <c r="K50" s="104"/>
      <c r="L50" s="105"/>
      <c r="M50" s="105"/>
      <c r="N50" s="105">
        <f>I50</f>
        <v>18.72</v>
      </c>
      <c r="O50" s="105">
        <f>SUM(L50:N50)</f>
        <v>18.72</v>
      </c>
      <c r="P50" s="245">
        <f>'Rider Rates'!$D$91</f>
        <v>45747</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9.4</v>
      </c>
      <c r="E53" s="101" t="s">
        <v>122</v>
      </c>
      <c r="F53" s="102" t="s">
        <v>8</v>
      </c>
      <c r="G53" s="114"/>
      <c r="H53" s="115"/>
      <c r="I53" s="120">
        <f>'Rider Rates'!$B$105</f>
        <v>0.24140039999999999</v>
      </c>
      <c r="J53" s="120">
        <f>SUM(H53:I53)</f>
        <v>0.24140039999999999</v>
      </c>
      <c r="K53" s="104"/>
      <c r="L53" s="105"/>
      <c r="M53" s="105"/>
      <c r="N53" s="105">
        <f>ROUND(N$30*I53,2)</f>
        <v>2.27</v>
      </c>
      <c r="O53" s="105">
        <f t="shared" si="1"/>
        <v>2.27</v>
      </c>
      <c r="P53" s="245">
        <f>'Rider Rates'!$D$105</f>
        <v>45716</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2"/>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2.9050000000000001E-4</v>
      </c>
      <c r="J57" s="265">
        <f>SUM(G57:I57)</f>
        <v>2.9050000000000001E-4</v>
      </c>
      <c r="K57" s="104" t="s">
        <v>42</v>
      </c>
      <c r="L57" s="266"/>
      <c r="M57" s="266"/>
      <c r="N57" s="266">
        <f>IF(D57*J57&gt;'Rider Rates'!$C$125,'Rider Rates'!$C$125,D57*J57)</f>
        <v>0</v>
      </c>
      <c r="O57" s="266">
        <f t="shared" si="2"/>
        <v>0</v>
      </c>
      <c r="P57" s="264">
        <f>'Rider Rates'!$E$125</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26.639999999999997</v>
      </c>
      <c r="O62" s="169">
        <f t="shared" si="3"/>
        <v>26.639999999999997</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36.04</v>
      </c>
      <c r="O64" s="98">
        <f>O30+O62</f>
        <v>36.04</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36.04</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36.04</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t7WlmJjC/i+FfV0pj/M6x8tzB7eDD/lvnOC3C1uzHtkUfu63vBu5Yw1C59klx3oHOb/SwZzgmiYt6NeEdMNQmw==" saltValue="iUk4RTrvRCRKX6Su/pILRg==" spinCount="100000" sheet="1" objects="1" scenarios="1"/>
  <mergeCells count="26">
    <mergeCell ref="A80:A94"/>
    <mergeCell ref="D22:H22"/>
    <mergeCell ref="G24:J24"/>
    <mergeCell ref="A2:P2"/>
    <mergeCell ref="A1:P1"/>
    <mergeCell ref="A3:P3"/>
    <mergeCell ref="A4:P4"/>
    <mergeCell ref="L24:O24"/>
    <mergeCell ref="A11:I11"/>
    <mergeCell ref="D21:H21"/>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topLeftCell="A32" zoomScale="80" zoomScaleNormal="80" workbookViewId="0">
      <selection activeCell="D45" sqref="D45"/>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262</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76">
        <f ca="1">TODAY()</f>
        <v>45806</v>
      </c>
      <c r="B6" s="210" t="s">
        <v>261</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6</v>
      </c>
      <c r="C10" s="194" t="str">
        <f>LOOKUP(B10,R10:AD10,R11:AD11)</f>
        <v>June</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PRI'!C20,'Customer Info'!$B$19*'GS PRI'!C20)),1))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
      <c r="A42" s="210" t="s">
        <v>193</v>
      </c>
      <c r="B42" s="78"/>
      <c r="C42" s="78"/>
      <c r="D42" s="100">
        <f>'Customer Info'!$B$21+'Customer Info'!$B$22-'Customer Info'!$B$23</f>
        <v>0</v>
      </c>
      <c r="E42" s="101" t="s">
        <v>41</v>
      </c>
      <c r="F42" s="102" t="s">
        <v>8</v>
      </c>
      <c r="G42" s="103">
        <f>'Rider Rates'!$B$45</f>
        <v>-4.1073000000000004E-3</v>
      </c>
      <c r="H42" s="103"/>
      <c r="I42" s="103"/>
      <c r="J42" s="237">
        <f>SUM(G42:H42)</f>
        <v>-4.1073000000000004E-3</v>
      </c>
      <c r="K42" s="104" t="s">
        <v>42</v>
      </c>
      <c r="L42" s="105">
        <f>ROUND(D42*G42,2)</f>
        <v>0</v>
      </c>
      <c r="M42" s="105"/>
      <c r="N42" s="105"/>
      <c r="O42" s="105">
        <f t="shared" si="0"/>
        <v>0</v>
      </c>
      <c r="P42" s="245">
        <f>'Rider Rates'!$D$45</f>
        <v>45747</v>
      </c>
    </row>
    <row r="43" spans="1:220" x14ac:dyDescent="0.2">
      <c r="A43" s="241" t="s">
        <v>210</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45658</v>
      </c>
    </row>
    <row r="44" spans="1:220" x14ac:dyDescent="0.2">
      <c r="A44" s="210" t="s">
        <v>189</v>
      </c>
      <c r="B44" s="78"/>
      <c r="C44" s="78"/>
      <c r="D44" s="1">
        <f>IF($C$16&lt;0,0,$C$16)</f>
        <v>0</v>
      </c>
      <c r="E44" s="113" t="s">
        <v>41</v>
      </c>
      <c r="F44" s="102" t="s">
        <v>8</v>
      </c>
      <c r="G44" s="103"/>
      <c r="H44" s="103">
        <f>'Rider Rates'!B58</f>
        <v>4.4210000000000001E-4</v>
      </c>
      <c r="I44" s="103"/>
      <c r="J44" s="103">
        <f>SUM(G44:I44)</f>
        <v>4.4210000000000001E-4</v>
      </c>
      <c r="K44" s="104" t="s">
        <v>42</v>
      </c>
      <c r="L44" s="105"/>
      <c r="M44" s="105">
        <f>ROUND(D44*H44,2)</f>
        <v>0</v>
      </c>
      <c r="N44" s="205"/>
      <c r="O44" s="105">
        <f t="shared" si="0"/>
        <v>0</v>
      </c>
      <c r="P44" s="245">
        <f>'Rider Rates'!$D$57</f>
        <v>45747</v>
      </c>
    </row>
    <row r="45" spans="1:220" x14ac:dyDescent="0.2">
      <c r="A45" s="210" t="s">
        <v>189</v>
      </c>
      <c r="B45" s="78"/>
      <c r="C45" s="78"/>
      <c r="D45" s="49">
        <f>ROUND(MAX(D14,('Customer Info'!B14-100)*0.6,('Customer Info'!B16-100)*0.6),1)</f>
        <v>0</v>
      </c>
      <c r="E45" s="35" t="s">
        <v>64</v>
      </c>
      <c r="F45" s="4" t="s">
        <v>8</v>
      </c>
      <c r="G45" s="103"/>
      <c r="H45" s="239">
        <f>'Rider Rates'!B63</f>
        <v>8.59</v>
      </c>
      <c r="I45" s="103"/>
      <c r="J45" s="239">
        <f>SUM(G45:I45)</f>
        <v>8.59</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138.5</v>
      </c>
      <c r="E48" s="101" t="s">
        <v>122</v>
      </c>
      <c r="F48" s="102" t="s">
        <v>8</v>
      </c>
      <c r="G48" s="111"/>
      <c r="H48" s="112"/>
      <c r="I48" s="120">
        <f>'Rider Rates'!$B$85</f>
        <v>1.9512100000000001E-2</v>
      </c>
      <c r="J48" s="120">
        <f>SUM(H48:I48)</f>
        <v>1.9512100000000001E-2</v>
      </c>
      <c r="K48" s="104"/>
      <c r="L48" s="105"/>
      <c r="M48" s="105"/>
      <c r="N48" s="105">
        <f>ROUND(N$30*I48,2)</f>
        <v>2.7</v>
      </c>
      <c r="O48" s="209">
        <f t="shared" si="1"/>
        <v>2.7</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1"/>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18.72</v>
      </c>
      <c r="J50" s="196">
        <f>SUM(G50:I50)</f>
        <v>18.72</v>
      </c>
      <c r="K50" s="104"/>
      <c r="L50" s="105"/>
      <c r="M50" s="105"/>
      <c r="N50" s="105">
        <f>I50</f>
        <v>18.72</v>
      </c>
      <c r="O50" s="105">
        <f>SUM(L50:N50)</f>
        <v>18.72</v>
      </c>
      <c r="P50" s="245">
        <f>'Rider Rates'!$D$91</f>
        <v>45747</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122</v>
      </c>
      <c r="F53" s="102" t="s">
        <v>8</v>
      </c>
      <c r="G53" s="114"/>
      <c r="H53" s="115"/>
      <c r="I53" s="120">
        <f>'Rider Rates'!$B$105</f>
        <v>0.24140039999999999</v>
      </c>
      <c r="J53" s="120">
        <f>SUM(H53:I53)</f>
        <v>0.24140039999999999</v>
      </c>
      <c r="K53" s="104"/>
      <c r="L53" s="105"/>
      <c r="M53" s="105"/>
      <c r="N53" s="105">
        <f>ROUND(N$30*I53,2)</f>
        <v>33.43</v>
      </c>
      <c r="O53" s="105">
        <f t="shared" si="1"/>
        <v>33.43</v>
      </c>
      <c r="P53" s="245">
        <f>'Rider Rates'!$D$105</f>
        <v>45716</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2"/>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2.9050000000000001E-4</v>
      </c>
      <c r="J57" s="265">
        <f>SUM(G57:I57)</f>
        <v>2.9050000000000001E-4</v>
      </c>
      <c r="K57" s="104" t="s">
        <v>42</v>
      </c>
      <c r="L57" s="266"/>
      <c r="M57" s="266"/>
      <c r="N57" s="266">
        <f>IF(D57*J57&gt;'Rider Rates'!$C$125,'Rider Rates'!$C$125,D57*J57)</f>
        <v>0</v>
      </c>
      <c r="O57" s="266">
        <f t="shared" si="2"/>
        <v>0</v>
      </c>
      <c r="P57" s="264">
        <f>'Rider Rates'!$E$125</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68.97</v>
      </c>
      <c r="O62" s="169">
        <f t="shared" si="3"/>
        <v>68.97</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207.47</v>
      </c>
      <c r="O64" s="98">
        <f>O30+O62</f>
        <v>207.47</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207.47</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207.47</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PmkOkyXLj2nlCuvvnE3PmfEflDD1YEwGgoHkk0neAjaMOwv9D+pG4Q7qrmwYeVlIql3KU1zAreFNFdJl1PP/cQ==" saltValue="ro/nAr8diywBj1eEpk5gS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topLeftCell="A21" workbookViewId="0">
      <selection activeCell="A32" sqref="A32"/>
    </sheetView>
  </sheetViews>
  <sheetFormatPr defaultColWidth="9.140625" defaultRowHeight="9.9499999999999993" customHeight="1" x14ac:dyDescent="0.2"/>
  <cols>
    <col min="1" max="1" width="130.5703125" style="295" customWidth="1"/>
    <col min="2" max="16384" width="9.140625" style="294"/>
  </cols>
  <sheetData>
    <row r="1" spans="1:1" ht="36" x14ac:dyDescent="0.2">
      <c r="A1" s="298" t="s">
        <v>314</v>
      </c>
    </row>
    <row r="2" spans="1:1" ht="24" x14ac:dyDescent="0.2">
      <c r="A2" s="299" t="s">
        <v>313</v>
      </c>
    </row>
    <row r="3" spans="1:1" ht="9.9499999999999993" customHeight="1" x14ac:dyDescent="0.2">
      <c r="A3" s="300"/>
    </row>
    <row r="4" spans="1:1" ht="24" customHeight="1" x14ac:dyDescent="0.2">
      <c r="A4" s="299" t="s">
        <v>312</v>
      </c>
    </row>
    <row r="5" spans="1:1" ht="9.9499999999999993" customHeight="1" x14ac:dyDescent="0.2">
      <c r="A5" s="300"/>
    </row>
    <row r="6" spans="1:1" ht="12" x14ac:dyDescent="0.2">
      <c r="A6" s="298" t="s">
        <v>311</v>
      </c>
    </row>
    <row r="7" spans="1:1" ht="9.9499999999999993" customHeight="1" x14ac:dyDescent="0.2">
      <c r="A7" s="298"/>
    </row>
    <row r="8" spans="1:1" ht="36" x14ac:dyDescent="0.2">
      <c r="A8" s="298" t="s">
        <v>310</v>
      </c>
    </row>
    <row r="9" spans="1:1" ht="9.9499999999999993" customHeight="1" x14ac:dyDescent="0.2">
      <c r="A9" s="299"/>
    </row>
    <row r="10" spans="1:1" ht="36" customHeight="1" x14ac:dyDescent="0.2">
      <c r="A10" s="298" t="s">
        <v>309</v>
      </c>
    </row>
    <row r="11" spans="1:1" ht="9.6" customHeight="1" x14ac:dyDescent="0.2">
      <c r="A11" s="298"/>
    </row>
    <row r="12" spans="1:1" ht="36" customHeight="1" x14ac:dyDescent="0.2">
      <c r="A12" s="298" t="s">
        <v>339</v>
      </c>
    </row>
    <row r="13" spans="1:1" ht="9.9499999999999993" customHeight="1" x14ac:dyDescent="0.2">
      <c r="A13" s="298"/>
    </row>
    <row r="14" spans="1:1" ht="38.25" customHeight="1" x14ac:dyDescent="0.2">
      <c r="A14" s="298" t="s">
        <v>308</v>
      </c>
    </row>
    <row r="15" spans="1:1" ht="9.9499999999999993" customHeight="1" x14ac:dyDescent="0.2">
      <c r="A15" s="298"/>
    </row>
    <row r="16" spans="1:1" ht="24" x14ac:dyDescent="0.2">
      <c r="A16" s="298" t="s">
        <v>307</v>
      </c>
    </row>
    <row r="17" spans="1:1" ht="9.9499999999999993" customHeight="1" x14ac:dyDescent="0.2">
      <c r="A17" s="298"/>
    </row>
    <row r="18" spans="1:1" ht="24" x14ac:dyDescent="0.2">
      <c r="A18" s="298" t="s">
        <v>306</v>
      </c>
    </row>
    <row r="19" spans="1:1" ht="9.9499999999999993" customHeight="1" x14ac:dyDescent="0.2">
      <c r="A19" s="298"/>
    </row>
    <row r="20" spans="1:1" ht="39.75" customHeight="1" x14ac:dyDescent="0.2">
      <c r="A20" s="298" t="s">
        <v>305</v>
      </c>
    </row>
    <row r="21" spans="1:1" ht="9.9499999999999993" customHeight="1" x14ac:dyDescent="0.2">
      <c r="A21" s="298"/>
    </row>
    <row r="22" spans="1:1" ht="24" x14ac:dyDescent="0.2">
      <c r="A22" s="298" t="s">
        <v>304</v>
      </c>
    </row>
    <row r="23" spans="1:1" ht="9.9499999999999993" customHeight="1" x14ac:dyDescent="0.2">
      <c r="A23" s="298"/>
    </row>
    <row r="24" spans="1:1" ht="36" x14ac:dyDescent="0.2">
      <c r="A24" s="298" t="s">
        <v>303</v>
      </c>
    </row>
    <row r="25" spans="1:1" ht="9.9499999999999993" customHeight="1" x14ac:dyDescent="0.2">
      <c r="A25" s="298"/>
    </row>
    <row r="26" spans="1:1" ht="24" x14ac:dyDescent="0.2">
      <c r="A26" s="298" t="s">
        <v>302</v>
      </c>
    </row>
    <row r="27" spans="1:1" ht="9.9499999999999993" customHeight="1" x14ac:dyDescent="0.2">
      <c r="A27" s="298"/>
    </row>
    <row r="28" spans="1:1" ht="24" x14ac:dyDescent="0.2">
      <c r="A28" s="296" t="s">
        <v>301</v>
      </c>
    </row>
    <row r="29" spans="1:1" ht="12" x14ac:dyDescent="0.2">
      <c r="A29" s="298"/>
    </row>
    <row r="30" spans="1:1" ht="45" customHeight="1" x14ac:dyDescent="0.2">
      <c r="A30" s="298" t="s">
        <v>300</v>
      </c>
    </row>
    <row r="32" spans="1:1" ht="36" customHeight="1" x14ac:dyDescent="0.2">
      <c r="A32" s="298" t="s">
        <v>299</v>
      </c>
    </row>
    <row r="33" spans="1:1" ht="9.9499999999999993" customHeight="1" x14ac:dyDescent="0.2">
      <c r="A33" s="297"/>
    </row>
    <row r="34" spans="1:1" ht="12" x14ac:dyDescent="0.2">
      <c r="A34" s="296"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topLeftCell="A30" zoomScale="80" zoomScaleNormal="80" workbookViewId="0">
      <selection activeCell="D44" sqref="D44"/>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263</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76">
        <f ca="1">TODAY()</f>
        <v>45806</v>
      </c>
      <c r="B6" s="210" t="s">
        <v>264</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6</v>
      </c>
      <c r="C10" s="194" t="str">
        <f>LOOKUP(B10,R10:AD10,R11:AD11)</f>
        <v>June</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8" t="s">
        <v>15</v>
      </c>
      <c r="E20" s="508"/>
      <c r="F20" s="508"/>
      <c r="G20" s="508"/>
      <c r="H20" s="508"/>
      <c r="K20" s="31"/>
      <c r="L20" s="31"/>
      <c r="M20" s="31"/>
      <c r="N20" s="31"/>
      <c r="O20" s="50"/>
    </row>
    <row r="21" spans="1:30" x14ac:dyDescent="0.2">
      <c r="A21" s="31" t="s">
        <v>15</v>
      </c>
      <c r="B21" s="31"/>
      <c r="C21" s="82" t="s">
        <v>15</v>
      </c>
      <c r="D21" s="508" t="s">
        <v>15</v>
      </c>
      <c r="E21" s="508"/>
      <c r="F21" s="508"/>
      <c r="G21" s="508"/>
      <c r="H21" s="508"/>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0" t="s">
        <v>68</v>
      </c>
      <c r="H23" s="491"/>
      <c r="I23" s="491"/>
      <c r="J23" s="492"/>
      <c r="K23" s="22"/>
      <c r="L23" s="493" t="s">
        <v>69</v>
      </c>
      <c r="M23" s="493"/>
      <c r="N23" s="493"/>
      <c r="O23" s="493"/>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0"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
      <c r="A41" s="210" t="s">
        <v>193</v>
      </c>
      <c r="B41" s="78"/>
      <c r="C41" s="78"/>
      <c r="D41" s="100">
        <f>'Customer Info'!$B$21+'Customer Info'!$B$22-'Customer Info'!$B$23</f>
        <v>0</v>
      </c>
      <c r="E41" s="101" t="s">
        <v>41</v>
      </c>
      <c r="F41" s="102" t="s">
        <v>8</v>
      </c>
      <c r="G41" s="103">
        <f>'Rider Rates'!$B$45</f>
        <v>-4.1073000000000004E-3</v>
      </c>
      <c r="H41" s="103"/>
      <c r="I41" s="103"/>
      <c r="J41" s="237">
        <f>SUM(G41:H41)</f>
        <v>-4.1073000000000004E-3</v>
      </c>
      <c r="K41" s="104" t="s">
        <v>42</v>
      </c>
      <c r="L41" s="105">
        <f>ROUND(D41*G41,2)</f>
        <v>0</v>
      </c>
      <c r="M41" s="105"/>
      <c r="N41" s="105"/>
      <c r="O41" s="105">
        <f t="shared" si="0"/>
        <v>0</v>
      </c>
      <c r="P41" s="245">
        <f>'Rider Rates'!$D$45</f>
        <v>45747</v>
      </c>
    </row>
    <row r="42" spans="1:220" x14ac:dyDescent="0.2">
      <c r="A42" s="241" t="s">
        <v>210</v>
      </c>
      <c r="B42" s="78"/>
      <c r="C42" s="78"/>
      <c r="D42" s="1">
        <f>IF($C$16&lt;0,0,IF($C$16&gt;833000,833000,$C$16))</f>
        <v>0</v>
      </c>
      <c r="E42" s="101" t="s">
        <v>41</v>
      </c>
      <c r="F42" s="102" t="s">
        <v>8</v>
      </c>
      <c r="G42" s="103"/>
      <c r="H42" s="103"/>
      <c r="I42" s="103">
        <f>'Rider Rates'!D49</f>
        <v>1.8006999999999999E-3</v>
      </c>
      <c r="J42" s="103">
        <f>SUM(G42:I42)</f>
        <v>1.8006999999999999E-3</v>
      </c>
      <c r="K42" s="104" t="s">
        <v>42</v>
      </c>
      <c r="L42" s="105"/>
      <c r="M42" s="105"/>
      <c r="N42" s="87">
        <f>D42*J42</f>
        <v>0</v>
      </c>
      <c r="O42" s="105">
        <f t="shared" si="0"/>
        <v>0</v>
      </c>
      <c r="P42" s="245">
        <f>'Rider Rates'!E49</f>
        <v>45658</v>
      </c>
    </row>
    <row r="43" spans="1:220" x14ac:dyDescent="0.2">
      <c r="A43" s="210" t="s">
        <v>189</v>
      </c>
      <c r="B43" s="78"/>
      <c r="C43" s="78"/>
      <c r="D43" s="1">
        <f>IF($C$16&lt;0,0,$C$16)</f>
        <v>0</v>
      </c>
      <c r="E43" s="113" t="s">
        <v>41</v>
      </c>
      <c r="F43" s="102" t="s">
        <v>8</v>
      </c>
      <c r="G43" s="103"/>
      <c r="H43" s="103">
        <f>'Rider Rates'!$B$59</f>
        <v>4.3409999999999998E-4</v>
      </c>
      <c r="I43" s="103"/>
      <c r="J43" s="103">
        <f>SUM(G43:I43)</f>
        <v>4.3409999999999998E-4</v>
      </c>
      <c r="K43" s="104" t="s">
        <v>42</v>
      </c>
      <c r="L43" s="105"/>
      <c r="M43" s="105">
        <f>ROUND(D43*H43,2)</f>
        <v>0</v>
      </c>
      <c r="N43" s="205"/>
      <c r="O43" s="105">
        <f t="shared" si="0"/>
        <v>0</v>
      </c>
      <c r="P43" s="245">
        <f>'Rider Rates'!$D$59</f>
        <v>45747</v>
      </c>
    </row>
    <row r="44" spans="1:220" x14ac:dyDescent="0.2">
      <c r="A44" s="210" t="s">
        <v>189</v>
      </c>
      <c r="B44" s="78"/>
      <c r="C44" s="78"/>
      <c r="D44" s="49">
        <f>ROUND(MAX(D14,('Customer Info'!B14-100)*0.6,('Customer Info'!B16-100)*0.6),1)</f>
        <v>0</v>
      </c>
      <c r="E44" s="35" t="s">
        <v>64</v>
      </c>
      <c r="F44" s="4" t="s">
        <v>8</v>
      </c>
      <c r="G44" s="103"/>
      <c r="H44" s="239">
        <f>'Rider Rates'!$B$64</f>
        <v>7.72</v>
      </c>
      <c r="I44" s="103"/>
      <c r="J44" s="239">
        <f>SUM(G44:I44)</f>
        <v>7.72</v>
      </c>
      <c r="K44" s="104" t="s">
        <v>44</v>
      </c>
      <c r="L44" s="105"/>
      <c r="M44" s="105">
        <f>ROUND(D44*H44,2)</f>
        <v>0</v>
      </c>
      <c r="N44" s="205"/>
      <c r="O44" s="105">
        <f t="shared" si="0"/>
        <v>0</v>
      </c>
      <c r="P44" s="245">
        <f>'Rider Rates'!$D$64</f>
        <v>45747</v>
      </c>
    </row>
    <row r="45" spans="1:220" x14ac:dyDescent="0.2">
      <c r="A45" s="99" t="s">
        <v>83</v>
      </c>
      <c r="B45" s="78"/>
      <c r="C45" s="78"/>
      <c r="D45" s="1">
        <f>IF('Customer Info'!C34=TRUE,0,IF($C$16&lt;0,0,$C$16))</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ref="O45:O52" si="1">SUM(L45:N45)</f>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81</v>
      </c>
      <c r="B47" s="78"/>
      <c r="C47" s="78"/>
      <c r="D47" s="208">
        <f>$N$29</f>
        <v>825</v>
      </c>
      <c r="E47" s="101" t="s">
        <v>122</v>
      </c>
      <c r="F47" s="102" t="s">
        <v>8</v>
      </c>
      <c r="G47" s="111"/>
      <c r="H47" s="112"/>
      <c r="I47" s="120">
        <f>'Rider Rates'!$B$85</f>
        <v>1.9512100000000001E-2</v>
      </c>
      <c r="J47" s="120">
        <f>SUM(H47:I47)</f>
        <v>1.9512100000000001E-2</v>
      </c>
      <c r="K47" s="104"/>
      <c r="L47" s="105"/>
      <c r="M47" s="105"/>
      <c r="N47" s="105">
        <f>ROUND(N$29*I47,2)</f>
        <v>16.100000000000001</v>
      </c>
      <c r="O47" s="209">
        <f t="shared" si="1"/>
        <v>16.100000000000001</v>
      </c>
      <c r="P47" s="245">
        <f>'Rider Rates'!$D$85</f>
        <v>45747</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1"/>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206</v>
      </c>
      <c r="B49" s="78"/>
      <c r="C49" s="78"/>
      <c r="D49" s="195"/>
      <c r="E49" s="113" t="s">
        <v>115</v>
      </c>
      <c r="F49" s="106"/>
      <c r="G49" s="114"/>
      <c r="H49" s="115"/>
      <c r="I49" s="196">
        <f>'Rider Rates'!$B$91</f>
        <v>18.72</v>
      </c>
      <c r="J49" s="196">
        <f>SUM(G49:I49)</f>
        <v>18.72</v>
      </c>
      <c r="K49" s="104"/>
      <c r="L49" s="105"/>
      <c r="M49" s="105"/>
      <c r="N49" s="105">
        <f>I49</f>
        <v>18.72</v>
      </c>
      <c r="O49" s="105">
        <f>SUM(L49:N49)</f>
        <v>18.72</v>
      </c>
      <c r="P49" s="245">
        <f>'Rider Rates'!$D$91</f>
        <v>45747</v>
      </c>
    </row>
    <row r="50" spans="1:221" x14ac:dyDescent="0.2">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122</v>
      </c>
      <c r="F52" s="102" t="s">
        <v>8</v>
      </c>
      <c r="G52" s="114"/>
      <c r="H52" s="115"/>
      <c r="I52" s="120">
        <f>'Rider Rates'!$B$105</f>
        <v>0.24140039999999999</v>
      </c>
      <c r="J52" s="120">
        <f>SUM(H52:I52)</f>
        <v>0.24140039999999999</v>
      </c>
      <c r="K52" s="104"/>
      <c r="L52" s="105"/>
      <c r="M52" s="105"/>
      <c r="N52" s="105">
        <f>ROUND(N$29*I52,2)</f>
        <v>199.16</v>
      </c>
      <c r="O52" s="105">
        <f t="shared" si="1"/>
        <v>199.16</v>
      </c>
      <c r="P52" s="245">
        <f>'Rider Rates'!$D$105</f>
        <v>45716</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2">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2"/>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2"/>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78" t="s">
        <v>233</v>
      </c>
      <c r="B56" s="78"/>
      <c r="C56" s="78"/>
      <c r="D56" s="100">
        <f>IF(C16&lt;0,0,IF(C16&gt;833000,833000,C16))</f>
        <v>0</v>
      </c>
      <c r="E56" s="101" t="s">
        <v>41</v>
      </c>
      <c r="F56" s="102" t="s">
        <v>8</v>
      </c>
      <c r="G56" s="265"/>
      <c r="H56" s="265"/>
      <c r="I56" s="265">
        <f>'Rider Rates'!$B$125</f>
        <v>2.9050000000000001E-4</v>
      </c>
      <c r="J56" s="265">
        <f>SUM(G56:I56)</f>
        <v>2.9050000000000001E-4</v>
      </c>
      <c r="K56" s="104" t="s">
        <v>42</v>
      </c>
      <c r="L56" s="266"/>
      <c r="M56" s="266"/>
      <c r="N56" s="266">
        <f>IF(D56*J56&gt;'Rider Rates'!$C$125,'Rider Rates'!$C$125,D56*J56)</f>
        <v>0</v>
      </c>
      <c r="O56" s="266">
        <f t="shared" si="2"/>
        <v>0</v>
      </c>
      <c r="P56" s="264">
        <f>'Rider Rates'!$E$125</f>
        <v>45658</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2"/>
        <v>0</v>
      </c>
      <c r="P57" s="264">
        <f>'Rider Rates'!$E$126</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79" t="s">
        <v>71</v>
      </c>
      <c r="B61" s="148"/>
      <c r="C61" s="148"/>
      <c r="D61" s="180"/>
      <c r="E61" s="181"/>
      <c r="F61" s="182"/>
      <c r="G61" s="182"/>
      <c r="H61" s="182"/>
      <c r="I61" s="182"/>
      <c r="J61" s="182"/>
      <c r="K61" s="183"/>
      <c r="L61" s="169">
        <f>SUM(L33:L60)</f>
        <v>0</v>
      </c>
      <c r="M61" s="169">
        <f t="shared" ref="M61:O61" si="3">SUM(M33:M60)</f>
        <v>0</v>
      </c>
      <c r="N61" s="169">
        <f t="shared" si="3"/>
        <v>294.08</v>
      </c>
      <c r="O61" s="169">
        <f t="shared" si="3"/>
        <v>294.08</v>
      </c>
      <c r="P61" s="184"/>
    </row>
    <row r="62" spans="1:221" x14ac:dyDescent="0.2">
      <c r="A62" s="37"/>
      <c r="D62" s="1"/>
      <c r="E62" s="35"/>
      <c r="F62" s="4"/>
      <c r="G62" s="42"/>
      <c r="H62" s="42"/>
      <c r="I62" s="42"/>
      <c r="J62" s="42"/>
      <c r="K62" s="36"/>
      <c r="L62" s="36"/>
      <c r="M62" s="36"/>
      <c r="N62" s="36"/>
      <c r="O62" s="34"/>
      <c r="P62" s="36"/>
    </row>
    <row r="63" spans="1:221" x14ac:dyDescent="0.2">
      <c r="A63" s="81" t="s">
        <v>72</v>
      </c>
      <c r="B63" s="92"/>
      <c r="C63" s="92"/>
      <c r="D63" s="92"/>
      <c r="E63" s="92"/>
      <c r="F63" s="92"/>
      <c r="G63" s="92"/>
      <c r="H63" s="92"/>
      <c r="I63" s="92"/>
      <c r="J63" s="92"/>
      <c r="K63" s="92"/>
      <c r="L63" s="98">
        <f>L29+L61</f>
        <v>0</v>
      </c>
      <c r="M63" s="98">
        <f>M29+M61</f>
        <v>0</v>
      </c>
      <c r="N63" s="98">
        <f>N29+N61</f>
        <v>1119.08</v>
      </c>
      <c r="O63" s="98">
        <f>O29+O61</f>
        <v>1119.08</v>
      </c>
      <c r="P63" s="98"/>
    </row>
    <row r="64" spans="1:221" x14ac:dyDescent="0.2">
      <c r="A64" s="37"/>
      <c r="B64" s="37"/>
      <c r="C64" s="37"/>
      <c r="D64" s="37"/>
      <c r="E64" s="37"/>
      <c r="F64" s="37"/>
      <c r="G64" s="37"/>
      <c r="H64" s="37"/>
      <c r="I64" s="37"/>
      <c r="J64" s="37"/>
      <c r="K64" s="37"/>
      <c r="L64" s="37"/>
      <c r="M64" s="37"/>
      <c r="N64" s="37"/>
      <c r="O64" s="40"/>
      <c r="P64" s="40"/>
    </row>
    <row r="65" spans="1:16" x14ac:dyDescent="0.2">
      <c r="A65" s="37" t="s">
        <v>37</v>
      </c>
      <c r="B65" s="37"/>
      <c r="C65" s="37"/>
      <c r="D65" s="37"/>
      <c r="E65" s="37"/>
      <c r="F65" s="37"/>
      <c r="G65" s="37"/>
      <c r="H65" s="37"/>
      <c r="I65" s="37"/>
      <c r="J65" s="37"/>
      <c r="K65" s="37"/>
      <c r="L65" s="37"/>
      <c r="M65" s="37"/>
      <c r="N65" s="37"/>
      <c r="O65" s="45">
        <f>O25+O27+O61</f>
        <v>1119.08</v>
      </c>
      <c r="P65" s="245">
        <v>40967</v>
      </c>
    </row>
    <row r="66" spans="1:16" x14ac:dyDescent="0.2">
      <c r="A66" s="37"/>
      <c r="B66" s="37"/>
      <c r="C66" s="37"/>
      <c r="D66" s="37"/>
      <c r="E66" s="37"/>
      <c r="F66" s="37"/>
      <c r="G66" s="46"/>
      <c r="H66" s="46"/>
      <c r="I66" s="46"/>
      <c r="J66" s="46"/>
      <c r="K66" s="36"/>
      <c r="L66" s="36"/>
      <c r="M66" s="36"/>
      <c r="N66" s="36"/>
      <c r="O66" s="40"/>
    </row>
    <row r="67" spans="1:16" x14ac:dyDescent="0.2">
      <c r="A67" s="41" t="s">
        <v>117</v>
      </c>
      <c r="B67" s="37"/>
      <c r="C67" s="37"/>
      <c r="D67" s="37"/>
      <c r="E67" s="37"/>
      <c r="F67" s="37"/>
      <c r="G67" s="46"/>
      <c r="H67" s="46"/>
      <c r="I67" s="46"/>
      <c r="J67" s="46"/>
      <c r="K67" s="36"/>
      <c r="L67" s="36"/>
      <c r="M67" s="36"/>
      <c r="N67" s="36"/>
      <c r="O67" s="138">
        <f>MAX($O$63,$O$65)</f>
        <v>1119.08</v>
      </c>
    </row>
    <row r="68" spans="1:16" x14ac:dyDescent="0.2">
      <c r="A68" s="37"/>
      <c r="B68" s="37"/>
      <c r="C68" s="37"/>
      <c r="D68" s="37"/>
      <c r="E68" s="37"/>
      <c r="F68" s="37"/>
      <c r="G68" s="46"/>
      <c r="H68" s="46"/>
      <c r="I68" s="46"/>
      <c r="J68" s="46"/>
      <c r="K68" s="36"/>
      <c r="L68" s="36"/>
      <c r="M68" s="36"/>
      <c r="N68" s="36"/>
      <c r="O68" s="40"/>
    </row>
    <row r="69" spans="1:16" x14ac:dyDescent="0.2">
      <c r="A69" s="37"/>
      <c r="B69" s="37"/>
      <c r="C69" s="37"/>
      <c r="D69" s="37"/>
      <c r="E69" s="37"/>
      <c r="F69" s="37"/>
      <c r="G69" s="96" t="s">
        <v>86</v>
      </c>
      <c r="H69" s="46"/>
      <c r="I69" s="37"/>
      <c r="J69" s="46"/>
      <c r="K69" s="36"/>
      <c r="L69" s="191"/>
      <c r="M69" s="191"/>
      <c r="N69" s="191"/>
      <c r="O69" s="191">
        <f>ROUND(IF($C$16&lt;1,0,$O$67/($C$16*100)*10000),2)</f>
        <v>0</v>
      </c>
      <c r="P69" s="37" t="s">
        <v>87</v>
      </c>
    </row>
    <row r="70" spans="1:16" x14ac:dyDescent="0.2">
      <c r="A70" s="37"/>
      <c r="B70" s="37"/>
      <c r="C70" s="37"/>
      <c r="D70" s="37"/>
      <c r="E70" s="37"/>
      <c r="F70" s="37"/>
      <c r="G70" s="242" t="s">
        <v>190</v>
      </c>
      <c r="H70" s="136"/>
      <c r="I70" s="133"/>
      <c r="J70" s="136"/>
      <c r="K70" s="137"/>
      <c r="L70" s="78"/>
      <c r="M70" s="78"/>
      <c r="N70" s="78"/>
      <c r="O70" s="243">
        <f>ROUND(IF($C$16&lt;1,0,(L63)/($C$16*100)*10000),2)</f>
        <v>0</v>
      </c>
      <c r="P70" s="25" t="s">
        <v>87</v>
      </c>
    </row>
    <row r="71" spans="1:16" x14ac:dyDescent="0.2">
      <c r="A71" s="37"/>
      <c r="B71" s="37"/>
      <c r="C71" s="37"/>
      <c r="D71" s="37"/>
      <c r="E71" s="37"/>
      <c r="F71" s="37"/>
      <c r="G71" s="96"/>
      <c r="H71" s="46"/>
      <c r="I71" s="96"/>
      <c r="J71" s="46"/>
      <c r="K71" s="36"/>
      <c r="L71" s="36"/>
      <c r="M71" s="36"/>
      <c r="N71" s="36"/>
      <c r="O71" s="130"/>
      <c r="P71" s="37"/>
    </row>
    <row r="72" spans="1:16" ht="20.25" customHeight="1" x14ac:dyDescent="0.3">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
      <c r="A73" s="37"/>
      <c r="B73" s="37"/>
      <c r="C73" s="37"/>
      <c r="D73" s="54"/>
      <c r="E73" s="3"/>
      <c r="F73" s="4"/>
      <c r="G73" s="55"/>
      <c r="H73" s="55"/>
      <c r="I73" s="93"/>
      <c r="J73" s="55"/>
      <c r="K73" s="37"/>
      <c r="L73" s="37"/>
      <c r="M73" s="37"/>
      <c r="N73" s="37"/>
      <c r="O73" s="40"/>
    </row>
    <row r="74" spans="1:16" x14ac:dyDescent="0.2">
      <c r="A74" s="37"/>
      <c r="B74" s="37"/>
      <c r="C74" s="37"/>
      <c r="D74" s="54"/>
      <c r="E74" s="3"/>
      <c r="F74" s="4"/>
      <c r="G74" s="55"/>
      <c r="H74" s="55"/>
      <c r="I74" s="55"/>
      <c r="J74" s="55"/>
      <c r="K74" s="37"/>
      <c r="L74" s="37"/>
      <c r="M74" s="37"/>
      <c r="N74" s="37"/>
      <c r="O74" s="40"/>
    </row>
    <row r="75" spans="1:16" x14ac:dyDescent="0.2">
      <c r="A75" s="41"/>
      <c r="B75" s="37"/>
      <c r="C75" s="37"/>
      <c r="D75" s="37"/>
      <c r="E75" s="37"/>
      <c r="F75" s="37"/>
      <c r="G75" s="37"/>
      <c r="H75" s="37"/>
      <c r="J75" s="37"/>
      <c r="K75" s="37"/>
      <c r="L75" s="40"/>
      <c r="M75" s="40"/>
      <c r="N75" s="40"/>
      <c r="O75" s="138"/>
    </row>
    <row r="76" spans="1:16" x14ac:dyDescent="0.2">
      <c r="B76" s="37"/>
      <c r="C76" s="37"/>
      <c r="D76" s="37"/>
      <c r="E76" s="37"/>
      <c r="F76" s="37"/>
      <c r="G76" s="96"/>
      <c r="H76" s="37"/>
      <c r="I76" s="37"/>
      <c r="J76" s="37"/>
      <c r="K76" s="37"/>
      <c r="L76" s="60"/>
      <c r="M76" s="60"/>
      <c r="N76" s="60"/>
      <c r="O76" s="130"/>
      <c r="P76" s="37"/>
    </row>
    <row r="77" spans="1:16" x14ac:dyDescent="0.2">
      <c r="G77" s="133"/>
      <c r="H77" s="56"/>
      <c r="I77" s="133"/>
      <c r="J77" s="56"/>
      <c r="K77" s="56"/>
      <c r="L77" s="134"/>
      <c r="M77" s="134"/>
      <c r="N77" s="134"/>
      <c r="O77" s="135"/>
      <c r="P77" s="25"/>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sheetData>
  <sheetProtection algorithmName="SHA-512" hashValue="RCU971UV0M/4VDkM6vcQuZ8on5CWFm6sXTRXoYJasaOoF4pA5j1cZ4Ic5Z935gUYhRrHx60n+nm0rgesvsPHbQ==" saltValue="rsSxnZ7ka/THgWzQ3TXuj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topLeftCell="A25" zoomScale="80" zoomScaleNormal="80" workbookViewId="0">
      <selection activeCell="D40" sqref="D40"/>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0" t="s">
        <v>120</v>
      </c>
      <c r="B1" s="480"/>
      <c r="C1" s="480"/>
      <c r="D1" s="480"/>
      <c r="E1" s="480"/>
      <c r="F1" s="480"/>
      <c r="G1" s="480"/>
      <c r="H1" s="480"/>
      <c r="I1" s="480"/>
      <c r="J1" s="480"/>
      <c r="K1" s="480"/>
      <c r="L1" s="480"/>
      <c r="M1" s="480"/>
      <c r="N1" s="480"/>
      <c r="O1" s="480"/>
      <c r="P1" s="480"/>
      <c r="Q1" s="197"/>
    </row>
    <row r="2" spans="1:59" ht="18" customHeight="1" x14ac:dyDescent="0.2">
      <c r="A2" s="489" t="s">
        <v>266</v>
      </c>
      <c r="B2" s="489"/>
      <c r="C2" s="489"/>
      <c r="D2" s="489"/>
      <c r="E2" s="489"/>
      <c r="F2" s="489"/>
      <c r="G2" s="489"/>
      <c r="H2" s="489"/>
      <c r="I2" s="489"/>
      <c r="J2" s="489"/>
      <c r="K2" s="489"/>
      <c r="L2" s="489"/>
      <c r="M2" s="489"/>
      <c r="N2" s="489"/>
      <c r="O2" s="489"/>
      <c r="P2" s="489"/>
    </row>
    <row r="3" spans="1:59" ht="18" x14ac:dyDescent="0.25">
      <c r="A3" s="489"/>
      <c r="B3" s="489"/>
      <c r="C3" s="489"/>
      <c r="D3" s="489"/>
      <c r="E3" s="489"/>
      <c r="F3" s="489"/>
      <c r="G3" s="489"/>
      <c r="H3" s="489"/>
      <c r="I3" s="489"/>
      <c r="J3" s="489"/>
      <c r="K3" s="489"/>
      <c r="L3" s="489"/>
      <c r="M3" s="489"/>
      <c r="N3" s="489"/>
      <c r="O3" s="489"/>
      <c r="P3" s="489"/>
      <c r="Q3" s="198"/>
    </row>
    <row r="4" spans="1:59"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45806</v>
      </c>
      <c r="B6" s="488" t="s">
        <v>265</v>
      </c>
      <c r="C6" s="488"/>
      <c r="D6" s="488"/>
      <c r="E6" s="488"/>
      <c r="F6" s="488"/>
      <c r="G6" s="488"/>
      <c r="H6" s="488"/>
      <c r="I6" s="488"/>
      <c r="J6" s="488"/>
      <c r="K6" s="488"/>
      <c r="L6" s="488"/>
      <c r="M6" s="488"/>
      <c r="N6" s="488"/>
      <c r="O6" s="488"/>
    </row>
    <row r="7" spans="1:59" x14ac:dyDescent="0.2">
      <c r="A7" s="479" t="s">
        <v>15</v>
      </c>
      <c r="B7" s="479"/>
      <c r="C7" s="479"/>
      <c r="D7" s="479"/>
      <c r="E7" s="479"/>
      <c r="F7" s="479"/>
      <c r="G7" s="479"/>
      <c r="H7" s="479"/>
      <c r="I7" s="479"/>
      <c r="J7" s="479"/>
      <c r="K7" s="479"/>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6</v>
      </c>
      <c r="C11" s="194" t="str">
        <f>LOOKUP($B$11,$S$11:$AD$11,S12:AD12)</f>
        <v>June</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46" si="0">SUM(G31:I31)</f>
        <v>4.6278999999999999E-3</v>
      </c>
      <c r="K31" s="104" t="s">
        <v>42</v>
      </c>
      <c r="L31" s="105"/>
      <c r="M31" s="105"/>
      <c r="N31" s="105">
        <f t="shared" ref="N31:N37" si="1">ROUND(D31*I31,2)</f>
        <v>0</v>
      </c>
      <c r="O31" s="250">
        <f t="shared" ref="O31:O48"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210</v>
      </c>
      <c r="B39" s="78"/>
      <c r="C39" s="78"/>
      <c r="D39" s="100"/>
      <c r="E39" s="101" t="s">
        <v>115</v>
      </c>
      <c r="F39" s="102"/>
      <c r="G39" s="103"/>
      <c r="H39" s="103"/>
      <c r="I39" s="103">
        <f>'Rider Rates'!D48</f>
        <v>1.17</v>
      </c>
      <c r="J39" s="237">
        <f>SUM(G39:I39)</f>
        <v>1.17</v>
      </c>
      <c r="K39" s="104"/>
      <c r="L39" s="105"/>
      <c r="M39" s="105"/>
      <c r="N39" s="105">
        <f>J39</f>
        <v>1.17</v>
      </c>
      <c r="O39" s="105">
        <f>SUM(L39:N39)</f>
        <v>1.17</v>
      </c>
      <c r="P39" s="245">
        <f>'Rider Rates'!E48</f>
        <v>45658</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189</v>
      </c>
      <c r="B40" s="78"/>
      <c r="C40" s="78"/>
      <c r="D40" s="100">
        <f>IF($D$17&lt;0,0,$D$17)</f>
        <v>0</v>
      </c>
      <c r="E40" s="113" t="s">
        <v>41</v>
      </c>
      <c r="F40" s="102" t="s">
        <v>8</v>
      </c>
      <c r="G40" s="103"/>
      <c r="H40" s="103">
        <f>'Rider Rates'!$B$55</f>
        <v>3.5317099999999997E-2</v>
      </c>
      <c r="I40" s="103"/>
      <c r="J40" s="103">
        <f>SUM(G40:I40)</f>
        <v>3.5317099999999997E-2</v>
      </c>
      <c r="K40" s="104" t="s">
        <v>42</v>
      </c>
      <c r="L40" s="105"/>
      <c r="M40" s="105">
        <f>ROUND(D40*H40,2)</f>
        <v>0</v>
      </c>
      <c r="N40" s="205"/>
      <c r="O40" s="105">
        <f t="shared" si="2"/>
        <v>0</v>
      </c>
      <c r="P40" s="245">
        <f>'Rider Rates'!$D$55</f>
        <v>45747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337</v>
      </c>
      <c r="B41" s="78"/>
      <c r="C41" s="78"/>
      <c r="D41" s="100">
        <f>IF($D$17&lt;0,0,$D$17)</f>
        <v>0</v>
      </c>
      <c r="E41" s="101" t="s">
        <v>41</v>
      </c>
      <c r="F41" s="102" t="s">
        <v>8</v>
      </c>
      <c r="G41" s="103"/>
      <c r="H41" s="103"/>
      <c r="I41" s="103">
        <f>'Rider Rates'!$B$66</f>
        <v>7.3870000000000001E-4</v>
      </c>
      <c r="J41" s="103">
        <f t="shared" ref="J41" si="3">SUM(G41:I41)</f>
        <v>7.3870000000000001E-4</v>
      </c>
      <c r="K41" s="104" t="s">
        <v>42</v>
      </c>
      <c r="L41" s="105"/>
      <c r="M41" s="105"/>
      <c r="N41" s="105">
        <f>ROUND($D$41*'Rider Rates'!$B$66,2)</f>
        <v>0</v>
      </c>
      <c r="O41" s="250">
        <f t="shared" ref="O41" si="4">SUM(L41:N41)</f>
        <v>0</v>
      </c>
      <c r="P41" s="245">
        <f>'Rider Rates'!$D$66</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96</v>
      </c>
      <c r="B42" s="78"/>
      <c r="C42" s="78"/>
      <c r="D42" s="100">
        <f>IF('Customer Info'!C34=TRUE,0,IF($D$17&lt;0,0,$D$17))</f>
        <v>0</v>
      </c>
      <c r="E42" s="101" t="s">
        <v>41</v>
      </c>
      <c r="F42" s="102" t="s">
        <v>8</v>
      </c>
      <c r="G42" s="103"/>
      <c r="H42" s="103"/>
      <c r="I42" s="103">
        <f>'Rider Rates'!$B$69+'Rider Rates'!$C$69</f>
        <v>0</v>
      </c>
      <c r="J42" s="103">
        <f t="shared" si="0"/>
        <v>0</v>
      </c>
      <c r="K42" s="104" t="s">
        <v>42</v>
      </c>
      <c r="L42" s="105"/>
      <c r="M42" s="105"/>
      <c r="N42" s="105">
        <f>ROUND($D$42*'Rider Rates'!$B$69,2)+ROUND($D$42*'Rider Rates'!$C$69,2)</f>
        <v>0</v>
      </c>
      <c r="O42" s="250">
        <f t="shared" si="2"/>
        <v>0</v>
      </c>
      <c r="P42" s="245">
        <f>'Rider Rates'!$D$69</f>
        <v>45444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$N$27</f>
        <v>10</v>
      </c>
      <c r="E43" s="101" t="s">
        <v>122</v>
      </c>
      <c r="F43" s="102" t="s">
        <v>8</v>
      </c>
      <c r="G43" s="111"/>
      <c r="H43" s="112"/>
      <c r="I43" s="120">
        <f>'Rider Rates'!$B$85</f>
        <v>1.9512100000000001E-2</v>
      </c>
      <c r="J43" s="120">
        <f>SUM(G43:I43)</f>
        <v>1.9512100000000001E-2</v>
      </c>
      <c r="K43" s="104"/>
      <c r="L43" s="105"/>
      <c r="M43" s="105"/>
      <c r="N43" s="105">
        <f>ROUND(D43*I43,2)</f>
        <v>0.2</v>
      </c>
      <c r="O43" s="105">
        <f t="shared" si="2"/>
        <v>0.2</v>
      </c>
      <c r="P43" s="245">
        <f>'Rider Rates'!$D$85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82</v>
      </c>
      <c r="B44" s="78"/>
      <c r="C44" s="78"/>
      <c r="D44" s="195">
        <f>$N$27</f>
        <v>10</v>
      </c>
      <c r="E44" s="101" t="s">
        <v>122</v>
      </c>
      <c r="F44" s="102" t="s">
        <v>8</v>
      </c>
      <c r="G44" s="114"/>
      <c r="H44" s="115"/>
      <c r="I44" s="120">
        <f>'Rider Rates'!$B$87</f>
        <v>6.6985699999999995E-2</v>
      </c>
      <c r="J44" s="120">
        <f t="shared" si="0"/>
        <v>6.6985699999999995E-2</v>
      </c>
      <c r="K44" s="104"/>
      <c r="L44" s="105"/>
      <c r="M44" s="105"/>
      <c r="N44" s="105">
        <f>ROUND(D44*I44,2)</f>
        <v>0.67</v>
      </c>
      <c r="O44" s="105">
        <f t="shared" si="2"/>
        <v>0.67</v>
      </c>
      <c r="P44" s="245">
        <f>'Rider Rates'!$D$87</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206</v>
      </c>
      <c r="B45" s="78"/>
      <c r="C45" s="78"/>
      <c r="D45" s="195"/>
      <c r="E45" s="113" t="s">
        <v>115</v>
      </c>
      <c r="F45" s="106"/>
      <c r="G45" s="114"/>
      <c r="H45" s="115"/>
      <c r="I45" s="196">
        <f>'Rider Rates'!$B$90</f>
        <v>2.2200000000000002</v>
      </c>
      <c r="J45" s="196">
        <f>SUM(G45:I45)</f>
        <v>2.2200000000000002</v>
      </c>
      <c r="K45" s="104"/>
      <c r="L45" s="105"/>
      <c r="M45" s="105"/>
      <c r="N45" s="105">
        <f>I45</f>
        <v>2.2200000000000002</v>
      </c>
      <c r="O45" s="250">
        <f>SUM(L45:N45)</f>
        <v>2.2200000000000002</v>
      </c>
      <c r="P45" s="245">
        <f>'Rider Rates'!$D$90</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$N$27</f>
        <v>10</v>
      </c>
      <c r="E46" s="101" t="s">
        <v>122</v>
      </c>
      <c r="F46" s="102" t="s">
        <v>8</v>
      </c>
      <c r="G46" s="114"/>
      <c r="H46" s="115"/>
      <c r="I46" s="120">
        <f>'Rider Rates'!$B$105</f>
        <v>0.24140039999999999</v>
      </c>
      <c r="J46" s="238">
        <f t="shared" si="0"/>
        <v>0.24140039999999999</v>
      </c>
      <c r="K46" s="104"/>
      <c r="L46" s="105"/>
      <c r="M46" s="105"/>
      <c r="N46" s="105">
        <f>ROUND(D46*I46,2)</f>
        <v>2.41</v>
      </c>
      <c r="O46" s="105">
        <f t="shared" si="2"/>
        <v>2.41</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Rates'!B120</f>
        <v>0.97</v>
      </c>
      <c r="J47" s="259">
        <f t="shared" ref="J47:J51" si="5">SUM(G47:I47)</f>
        <v>0.97</v>
      </c>
      <c r="K47" s="104"/>
      <c r="L47" s="105"/>
      <c r="M47" s="105"/>
      <c r="N47" s="260">
        <f>I47</f>
        <v>0.97</v>
      </c>
      <c r="O47" s="105">
        <f>SUM(L47:N47)</f>
        <v>0.97</v>
      </c>
      <c r="P47" s="245">
        <f>'Rider Rates'!D120</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IF($D$17&lt;1,0,$D$17)</f>
        <v>0</v>
      </c>
      <c r="E48" s="101" t="s">
        <v>41</v>
      </c>
      <c r="F48" s="249" t="s">
        <v>8</v>
      </c>
      <c r="G48" s="103"/>
      <c r="H48" s="103"/>
      <c r="I48" s="103">
        <f>'Rider Rates'!$B$117</f>
        <v>0</v>
      </c>
      <c r="J48" s="237">
        <f t="shared" si="5"/>
        <v>0</v>
      </c>
      <c r="K48" s="104" t="s">
        <v>42</v>
      </c>
      <c r="L48" s="105"/>
      <c r="M48" s="105"/>
      <c r="N48" s="105">
        <f>D48*J48</f>
        <v>0</v>
      </c>
      <c r="O48" s="105">
        <f t="shared" si="2"/>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230</v>
      </c>
      <c r="B49" s="78"/>
      <c r="C49" s="78"/>
      <c r="D49" s="100"/>
      <c r="E49" s="101" t="s">
        <v>115</v>
      </c>
      <c r="F49" s="102" t="s">
        <v>8</v>
      </c>
      <c r="G49" s="263"/>
      <c r="H49" s="263"/>
      <c r="I49" s="263">
        <f>'Rider Rates'!$B$124</f>
        <v>0.1</v>
      </c>
      <c r="J49" s="263">
        <f t="shared" si="5"/>
        <v>0.1</v>
      </c>
      <c r="K49" s="104"/>
      <c r="L49" s="209"/>
      <c r="M49" s="209"/>
      <c r="N49" s="209">
        <f>J49</f>
        <v>0.1</v>
      </c>
      <c r="O49" s="209">
        <f>SUM(L49:N49)</f>
        <v>0.1</v>
      </c>
      <c r="P49" s="264">
        <f>'Rider Rates'!E124</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242</v>
      </c>
      <c r="B50" s="78"/>
      <c r="C50" s="78"/>
      <c r="D50" s="100">
        <f>D17</f>
        <v>0</v>
      </c>
      <c r="E50" s="101" t="s">
        <v>41</v>
      </c>
      <c r="F50" s="249" t="s">
        <v>8</v>
      </c>
      <c r="G50" s="103"/>
      <c r="H50" s="103"/>
      <c r="I50" s="103">
        <f>'Rider Rates'!B129</f>
        <v>0</v>
      </c>
      <c r="J50" s="237">
        <f t="shared" si="5"/>
        <v>0</v>
      </c>
      <c r="K50" s="104" t="s">
        <v>42</v>
      </c>
      <c r="L50" s="105"/>
      <c r="M50" s="105"/>
      <c r="N50" s="105">
        <f>D50*J50</f>
        <v>0</v>
      </c>
      <c r="O50" s="105">
        <f t="shared" ref="O50" si="6">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241</v>
      </c>
      <c r="B51" s="78"/>
      <c r="C51" s="78"/>
      <c r="D51" s="100"/>
      <c r="E51" s="101" t="s">
        <v>115</v>
      </c>
      <c r="F51" s="102" t="s">
        <v>8</v>
      </c>
      <c r="G51" s="263"/>
      <c r="H51" s="263"/>
      <c r="I51" s="263">
        <f>'Rider Rates'!$B$136</f>
        <v>0</v>
      </c>
      <c r="J51" s="263">
        <f t="shared" si="5"/>
        <v>0</v>
      </c>
      <c r="K51" s="104"/>
      <c r="L51" s="209"/>
      <c r="M51" s="209"/>
      <c r="N51" s="209">
        <f>J51</f>
        <v>0</v>
      </c>
      <c r="O51" s="209">
        <f>SUM(L51:N51)</f>
        <v>0</v>
      </c>
      <c r="P51" s="264">
        <f>'Rider Rates'!D136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79" t="s">
        <v>71</v>
      </c>
      <c r="B53" s="148"/>
      <c r="C53" s="148"/>
      <c r="D53" s="180"/>
      <c r="E53" s="181"/>
      <c r="F53" s="182"/>
      <c r="G53" s="182"/>
      <c r="H53" s="182"/>
      <c r="I53" s="182"/>
      <c r="J53" s="182"/>
      <c r="K53" s="183"/>
      <c r="L53" s="169">
        <f>SUM(L31:L52)</f>
        <v>0</v>
      </c>
      <c r="M53" s="169">
        <f t="shared" ref="M53:O53" si="7">SUM(M31:M52)</f>
        <v>0</v>
      </c>
      <c r="N53" s="169">
        <f t="shared" si="7"/>
        <v>7.7399999999999993</v>
      </c>
      <c r="O53" s="169">
        <f t="shared" si="7"/>
        <v>7.7399999999999993</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85" t="s">
        <v>94</v>
      </c>
      <c r="B55" s="170"/>
      <c r="C55" s="170"/>
      <c r="D55" s="170"/>
      <c r="E55" s="170"/>
      <c r="F55" s="170"/>
      <c r="G55" s="170"/>
      <c r="H55" s="170"/>
      <c r="I55" s="170"/>
      <c r="J55" s="170"/>
      <c r="K55" s="170"/>
      <c r="L55" s="186">
        <f>L27+L53</f>
        <v>0</v>
      </c>
      <c r="M55" s="186">
        <f>M27+M53</f>
        <v>0</v>
      </c>
      <c r="N55" s="186">
        <f>N27+N53</f>
        <v>17.739999999999998</v>
      </c>
      <c r="O55" s="187">
        <f>O27+O53</f>
        <v>17.739999999999998</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66" t="s">
        <v>93</v>
      </c>
      <c r="B58" s="78"/>
      <c r="C58" s="78"/>
      <c r="D58" s="78"/>
      <c r="E58" s="78"/>
      <c r="F58" s="78"/>
      <c r="G58" s="78"/>
      <c r="H58" s="78"/>
      <c r="I58" s="78"/>
      <c r="J58" s="78"/>
      <c r="K58" s="78"/>
      <c r="L58" s="78"/>
      <c r="M58" s="78"/>
      <c r="N58" s="78"/>
      <c r="O58" s="109">
        <f>IF(D17&lt;0,MIN(O25,O55),O25)</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15</v>
      </c>
      <c r="B59" s="166"/>
      <c r="C59" s="166"/>
      <c r="D59" s="166"/>
      <c r="E59" s="166"/>
      <c r="F59" s="166"/>
      <c r="G59" s="166"/>
      <c r="H59" s="166"/>
      <c r="I59" s="78"/>
      <c r="J59" s="78"/>
      <c r="K59" s="78"/>
      <c r="L59" s="78"/>
      <c r="M59" s="78"/>
      <c r="N59" s="151"/>
      <c r="O59" s="151"/>
      <c r="P59" s="151"/>
      <c r="Q59" s="78"/>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48" t="s">
        <v>117</v>
      </c>
      <c r="B60" s="151"/>
      <c r="C60" s="151"/>
      <c r="D60" s="151"/>
      <c r="E60" s="151"/>
      <c r="F60" s="151"/>
      <c r="G60" s="151"/>
      <c r="H60" s="151"/>
      <c r="I60" s="151"/>
      <c r="J60" s="151"/>
      <c r="K60" s="151"/>
      <c r="L60" s="151"/>
      <c r="M60" s="151"/>
      <c r="N60" s="151"/>
      <c r="O60" s="190">
        <f>IF($D$17&lt;0,O55,IF(O55&gt;O58,O55,O58))</f>
        <v>17.739999999999998</v>
      </c>
      <c r="P60" s="160"/>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c r="B61" s="151"/>
      <c r="C61" s="151"/>
      <c r="D61" s="151"/>
      <c r="E61" s="151"/>
      <c r="F61" s="151"/>
      <c r="G61" s="151"/>
      <c r="H61" s="151"/>
      <c r="I61" s="151"/>
      <c r="J61" s="151"/>
      <c r="K61" s="151"/>
      <c r="L61" s="151"/>
      <c r="M61" s="151"/>
      <c r="N61" s="151"/>
      <c r="O61" s="138"/>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c r="B62" s="166"/>
      <c r="C62" s="166"/>
      <c r="D62" s="166"/>
      <c r="E62" s="166"/>
      <c r="F62" s="166"/>
      <c r="G62" s="166"/>
      <c r="H62" s="166"/>
      <c r="I62" s="166" t="s">
        <v>121</v>
      </c>
      <c r="J62" s="166"/>
      <c r="K62" s="166"/>
      <c r="L62" s="191"/>
      <c r="M62" s="191"/>
      <c r="N62" s="191"/>
      <c r="O62" s="191">
        <f>ROUND(IF($D$17&lt;1,0,O55/($D$17*100)*10000),2)</f>
        <v>0</v>
      </c>
      <c r="P62" s="37" t="s">
        <v>87</v>
      </c>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37"/>
      <c r="B63" s="78"/>
      <c r="C63" s="78"/>
      <c r="D63" s="78"/>
      <c r="E63" s="78"/>
      <c r="F63" s="78"/>
      <c r="G63" s="78"/>
      <c r="H63" s="192"/>
      <c r="I63" s="242" t="s">
        <v>190</v>
      </c>
      <c r="J63" s="78"/>
      <c r="K63" s="78"/>
      <c r="L63" s="78"/>
      <c r="M63" s="78"/>
      <c r="N63" s="78"/>
      <c r="O63" s="243">
        <f>ROUND(IF($D$17&lt;1,0,(L55)/($D$17*100)*10000),2)</f>
        <v>0</v>
      </c>
      <c r="P63" s="25" t="s">
        <v>87</v>
      </c>
      <c r="Q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A64" s="99"/>
      <c r="B64" s="78"/>
      <c r="C64" s="78"/>
      <c r="D64" s="100"/>
      <c r="E64" s="101"/>
      <c r="F64" s="106"/>
      <c r="G64" s="133"/>
      <c r="H64" s="56"/>
      <c r="I64" s="133"/>
      <c r="J64" s="25"/>
      <c r="K64" s="25"/>
      <c r="L64" s="134"/>
      <c r="M64" s="134"/>
      <c r="N64" s="134"/>
      <c r="O64" s="135"/>
      <c r="Q64" s="80"/>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21" x14ac:dyDescent="0.2">
      <c r="A65" s="99"/>
      <c r="B65" s="78"/>
      <c r="C65" s="78"/>
      <c r="D65" s="100"/>
      <c r="E65" s="113"/>
      <c r="F65" s="106"/>
      <c r="Q65" s="80"/>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
      <c r="A66" s="78"/>
      <c r="D66" s="1"/>
      <c r="E66" s="35"/>
      <c r="F66" s="106"/>
      <c r="Q66" s="80"/>
    </row>
    <row r="67" spans="1:221" x14ac:dyDescent="0.2">
      <c r="A67" s="96"/>
      <c r="D67" s="1"/>
      <c r="E67" s="35"/>
      <c r="F67" s="4"/>
      <c r="Q67" s="36"/>
    </row>
    <row r="68" spans="1:221" x14ac:dyDescent="0.2">
      <c r="A68" s="96"/>
      <c r="D68" s="1"/>
      <c r="E68" s="35"/>
      <c r="F68" s="4"/>
      <c r="Q68" s="36"/>
    </row>
    <row r="69" spans="1:221" x14ac:dyDescent="0.2">
      <c r="A69" s="41"/>
      <c r="B69" s="77"/>
      <c r="C69" s="77"/>
      <c r="D69" s="77"/>
      <c r="E69" s="77"/>
      <c r="F69" s="77"/>
    </row>
    <row r="70" spans="1:221" x14ac:dyDescent="0.2">
      <c r="B70" s="37"/>
      <c r="C70" s="37"/>
      <c r="D70" s="37"/>
      <c r="E70" s="37"/>
      <c r="F70" s="37"/>
      <c r="P70" s="37"/>
      <c r="Q70" s="37"/>
    </row>
    <row r="71" spans="1:221" x14ac:dyDescent="0.2">
      <c r="B71" s="37"/>
      <c r="C71" s="37"/>
      <c r="D71" s="37"/>
      <c r="E71" s="37"/>
      <c r="F71" s="37"/>
      <c r="P71" s="25"/>
      <c r="Q71" s="25"/>
    </row>
    <row r="74" spans="1:221" x14ac:dyDescent="0.2">
      <c r="A74" s="478"/>
    </row>
    <row r="75" spans="1:221" x14ac:dyDescent="0.2">
      <c r="A75" s="478"/>
    </row>
    <row r="76" spans="1:221" x14ac:dyDescent="0.2">
      <c r="A76" s="478"/>
    </row>
    <row r="77" spans="1:221" x14ac:dyDescent="0.2">
      <c r="A77" s="478"/>
    </row>
    <row r="78" spans="1:221" x14ac:dyDescent="0.2">
      <c r="A78" s="478"/>
    </row>
    <row r="79" spans="1:221" x14ac:dyDescent="0.2">
      <c r="A79" s="478"/>
    </row>
    <row r="80" spans="1:221"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topLeftCell="A22" zoomScale="80" zoomScaleNormal="80" workbookViewId="0">
      <selection activeCell="K52" sqref="K52"/>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c r="Q1" s="203"/>
    </row>
    <row r="2" spans="1:30" ht="20.25" x14ac:dyDescent="0.3">
      <c r="A2" s="496" t="s">
        <v>267</v>
      </c>
      <c r="B2" s="496"/>
      <c r="C2" s="496"/>
      <c r="D2" s="496"/>
      <c r="E2" s="496"/>
      <c r="F2" s="496"/>
      <c r="G2" s="496"/>
      <c r="H2" s="496"/>
      <c r="I2" s="496"/>
      <c r="J2" s="496"/>
      <c r="K2" s="496"/>
      <c r="L2" s="496"/>
      <c r="M2" s="496"/>
      <c r="N2" s="496"/>
      <c r="O2" s="496"/>
      <c r="P2" s="496"/>
      <c r="Q2" s="197"/>
    </row>
    <row r="3" spans="1:30" ht="18" x14ac:dyDescent="0.25">
      <c r="A3" s="481" t="s">
        <v>95</v>
      </c>
      <c r="B3" s="481"/>
      <c r="C3" s="481"/>
      <c r="D3" s="481"/>
      <c r="E3" s="481"/>
      <c r="F3" s="481"/>
      <c r="G3" s="481"/>
      <c r="H3" s="481"/>
      <c r="I3" s="481"/>
      <c r="J3" s="481"/>
      <c r="K3" s="481"/>
      <c r="L3" s="481"/>
      <c r="M3" s="481"/>
      <c r="N3" s="481"/>
      <c r="O3" s="481"/>
      <c r="P3" s="481"/>
      <c r="Q3" s="198"/>
    </row>
    <row r="4" spans="1:30" ht="15.75" x14ac:dyDescent="0.25">
      <c r="A4" s="481"/>
      <c r="B4" s="481"/>
      <c r="C4" s="481"/>
      <c r="D4" s="481"/>
      <c r="E4" s="481"/>
      <c r="F4" s="481"/>
      <c r="G4" s="481"/>
      <c r="H4" s="481"/>
      <c r="I4" s="481"/>
      <c r="J4" s="481"/>
      <c r="K4" s="481"/>
      <c r="L4" s="481"/>
      <c r="M4" s="481"/>
      <c r="N4" s="481"/>
      <c r="O4" s="481"/>
      <c r="P4" s="481"/>
      <c r="Q4" s="199"/>
    </row>
    <row r="5" spans="1:30" x14ac:dyDescent="0.2">
      <c r="A5" s="76">
        <f ca="1">TODAY()</f>
        <v>45806</v>
      </c>
      <c r="B5" s="488" t="s">
        <v>293</v>
      </c>
      <c r="C5" s="488"/>
      <c r="D5" s="488"/>
      <c r="E5" s="488"/>
      <c r="F5" s="488"/>
      <c r="G5" s="488"/>
      <c r="H5" s="488"/>
      <c r="I5" s="488"/>
      <c r="J5" s="488"/>
      <c r="K5" s="488"/>
      <c r="L5" s="488"/>
      <c r="M5" s="488"/>
      <c r="N5" s="488"/>
      <c r="O5" s="488"/>
    </row>
    <row r="6" spans="1:30" x14ac:dyDescent="0.2">
      <c r="A6" s="479" t="s">
        <v>15</v>
      </c>
      <c r="B6" s="479"/>
      <c r="C6" s="479"/>
      <c r="D6" s="479"/>
      <c r="E6" s="479"/>
      <c r="F6" s="479"/>
      <c r="G6" s="479"/>
      <c r="H6" s="479"/>
      <c r="I6" s="479"/>
      <c r="J6" s="479"/>
      <c r="K6" s="479"/>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6</v>
      </c>
      <c r="C10" s="194" t="str">
        <f>LOOKUP(B10,S11:AD11,S12:AD12)</f>
        <v>June</v>
      </c>
      <c r="D10" s="133">
        <f>'Customer Info'!C9</f>
        <v>2025</v>
      </c>
    </row>
    <row r="11" spans="1:30" x14ac:dyDescent="0.2">
      <c r="A11" s="494"/>
      <c r="B11" s="494"/>
      <c r="C11" s="494"/>
      <c r="D11" s="494"/>
      <c r="E11" s="494"/>
      <c r="F11" s="494"/>
      <c r="G11" s="494"/>
      <c r="H11" s="494"/>
      <c r="I11" s="494"/>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0" t="s">
        <v>68</v>
      </c>
      <c r="H17" s="491"/>
      <c r="I17" s="491"/>
      <c r="J17" s="492"/>
      <c r="K17" s="22"/>
      <c r="L17" s="493" t="s">
        <v>69</v>
      </c>
      <c r="M17" s="493"/>
      <c r="N17" s="493"/>
      <c r="O17" s="493"/>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1" si="0">SUM(G25:I25)</f>
        <v>4.6278999999999999E-3</v>
      </c>
      <c r="K25" s="104" t="s">
        <v>42</v>
      </c>
      <c r="L25" s="105"/>
      <c r="M25" s="105"/>
      <c r="N25" s="105">
        <f t="shared" ref="N25:N30" si="1">ROUND(D25*I25,2)</f>
        <v>0</v>
      </c>
      <c r="O25" s="105">
        <f t="shared" ref="O25:O34"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210</v>
      </c>
      <c r="B33" s="78"/>
      <c r="C33" s="78"/>
      <c r="D33" s="100"/>
      <c r="E33" s="101" t="s">
        <v>115</v>
      </c>
      <c r="F33" s="102"/>
      <c r="G33" s="103"/>
      <c r="H33" s="103"/>
      <c r="I33" s="103">
        <f>'Rider Rates'!D48</f>
        <v>1.17</v>
      </c>
      <c r="J33" s="103">
        <f>SUM(G33:I33)</f>
        <v>1.17</v>
      </c>
      <c r="K33" s="104" t="s">
        <v>42</v>
      </c>
      <c r="L33" s="105"/>
      <c r="M33" s="105"/>
      <c r="N33" s="105">
        <f>J33</f>
        <v>1.17</v>
      </c>
      <c r="O33" s="105">
        <f>SUM(L33:N33)</f>
        <v>1.17</v>
      </c>
      <c r="P33" s="245">
        <f>'Rider Rates'!E48</f>
        <v>45658</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189</v>
      </c>
      <c r="B34" s="78"/>
      <c r="C34" s="78"/>
      <c r="D34" s="100">
        <f>IF($C$14&lt;0,0,$C$14)</f>
        <v>0</v>
      </c>
      <c r="E34" s="113" t="s">
        <v>41</v>
      </c>
      <c r="F34" s="102" t="s">
        <v>8</v>
      </c>
      <c r="G34" s="103"/>
      <c r="H34" s="103">
        <f>'Rider Rates'!$B$55</f>
        <v>3.5317099999999997E-2</v>
      </c>
      <c r="I34" s="103"/>
      <c r="J34" s="103">
        <f>SUM(G34:I34)</f>
        <v>3.5317099999999997E-2</v>
      </c>
      <c r="K34" s="104" t="s">
        <v>42</v>
      </c>
      <c r="L34" s="105"/>
      <c r="M34" s="105">
        <f>ROUND(D34*H34,2)</f>
        <v>0</v>
      </c>
      <c r="N34" s="205"/>
      <c r="O34" s="105">
        <f t="shared" si="2"/>
        <v>0</v>
      </c>
      <c r="P34" s="245">
        <f>'Rider Rates'!$D$55</f>
        <v>45747</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337</v>
      </c>
      <c r="B35" s="78"/>
      <c r="C35" s="78"/>
      <c r="D35" s="100">
        <f>IF($C$14&lt;0,0,$C$14)</f>
        <v>0</v>
      </c>
      <c r="E35" s="101" t="s">
        <v>41</v>
      </c>
      <c r="F35" s="102" t="s">
        <v>8</v>
      </c>
      <c r="G35" s="103"/>
      <c r="H35" s="103"/>
      <c r="I35" s="103">
        <f>'Rider Rates'!$B$66</f>
        <v>7.3870000000000001E-4</v>
      </c>
      <c r="J35" s="103">
        <f t="shared" ref="J35" si="3">SUM(G35:I35)</f>
        <v>7.3870000000000001E-4</v>
      </c>
      <c r="K35" s="104" t="s">
        <v>42</v>
      </c>
      <c r="L35" s="105"/>
      <c r="M35" s="105"/>
      <c r="N35" s="105">
        <f>ROUND($D$35*'Rider Rates'!$B$66,2)</f>
        <v>0</v>
      </c>
      <c r="O35" s="105">
        <f>SUM(L35:N35)</f>
        <v>0</v>
      </c>
      <c r="P35" s="245">
        <f>'Rider Rates'!$D$66</f>
        <v>45747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96</v>
      </c>
      <c r="B36" s="78"/>
      <c r="C36" s="78"/>
      <c r="D36" s="100">
        <f>IF('Customer Info'!C34=TRUE,0,IF($C$14&lt;0,0,$C$14))</f>
        <v>0</v>
      </c>
      <c r="E36" s="101" t="s">
        <v>41</v>
      </c>
      <c r="F36" s="102" t="s">
        <v>8</v>
      </c>
      <c r="G36" s="103"/>
      <c r="H36" s="103"/>
      <c r="I36" s="103">
        <f>'Rider Rates'!$B$69+'Rider Rates'!$C$69</f>
        <v>0</v>
      </c>
      <c r="J36" s="103">
        <f t="shared" si="0"/>
        <v>0</v>
      </c>
      <c r="K36" s="104" t="s">
        <v>42</v>
      </c>
      <c r="L36" s="105"/>
      <c r="M36" s="105"/>
      <c r="N36" s="105">
        <f>ROUND($D$36*'Rider Rates'!$B$69,2)+ROUND($D$36*'Rider Rates'!$C$69,2)</f>
        <v>0</v>
      </c>
      <c r="O36" s="105">
        <f>SUM(L36:N36)</f>
        <v>0</v>
      </c>
      <c r="P36" s="245">
        <f>'Rider Rates'!$D$69</f>
        <v>45444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81</v>
      </c>
      <c r="B37" s="78"/>
      <c r="C37" s="78"/>
      <c r="D37" s="195">
        <f>$N$21</f>
        <v>10</v>
      </c>
      <c r="E37" s="101" t="s">
        <v>122</v>
      </c>
      <c r="F37" s="102" t="s">
        <v>8</v>
      </c>
      <c r="G37" s="111"/>
      <c r="H37" s="112"/>
      <c r="I37" s="120">
        <f>'Rider Rates'!$B$85</f>
        <v>1.9512100000000001E-2</v>
      </c>
      <c r="J37" s="120">
        <f t="shared" si="0"/>
        <v>1.9512100000000001E-2</v>
      </c>
      <c r="K37" s="104"/>
      <c r="L37" s="105"/>
      <c r="M37" s="105"/>
      <c r="N37" s="105">
        <f>ROUND(D37*I37,2)</f>
        <v>0.2</v>
      </c>
      <c r="O37" s="105">
        <f>SUM(L37:N37)</f>
        <v>0.2</v>
      </c>
      <c r="P37" s="245">
        <f>'Rider Rates'!$D$85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82</v>
      </c>
      <c r="B38" s="78"/>
      <c r="C38" s="78"/>
      <c r="D38" s="195">
        <f>$N$21</f>
        <v>10</v>
      </c>
      <c r="E38" s="101" t="s">
        <v>122</v>
      </c>
      <c r="F38" s="102" t="s">
        <v>8</v>
      </c>
      <c r="G38" s="114"/>
      <c r="H38" s="115"/>
      <c r="I38" s="120">
        <f>'Rider Rates'!$B$87</f>
        <v>6.6985699999999995E-2</v>
      </c>
      <c r="J38" s="120">
        <f t="shared" si="0"/>
        <v>6.6985699999999995E-2</v>
      </c>
      <c r="K38" s="104"/>
      <c r="L38" s="105"/>
      <c r="M38" s="105"/>
      <c r="N38" s="105">
        <f>ROUND(D38*I38,2)</f>
        <v>0.67</v>
      </c>
      <c r="O38" s="105">
        <f>SUM(L38:N38)</f>
        <v>0.67</v>
      </c>
      <c r="P38" s="245">
        <f>'Rider Rates'!$D$87</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206</v>
      </c>
      <c r="B39" s="78"/>
      <c r="C39" s="78"/>
      <c r="D39" s="195"/>
      <c r="E39" s="113" t="s">
        <v>115</v>
      </c>
      <c r="F39" s="106"/>
      <c r="G39" s="114"/>
      <c r="H39" s="115"/>
      <c r="I39" s="196">
        <f>'Rider Rates'!$B$90</f>
        <v>2.2200000000000002</v>
      </c>
      <c r="J39" s="196">
        <f t="shared" si="0"/>
        <v>2.2200000000000002</v>
      </c>
      <c r="K39" s="104"/>
      <c r="L39" s="105"/>
      <c r="M39" s="105"/>
      <c r="N39" s="105">
        <f>I39</f>
        <v>2.2200000000000002</v>
      </c>
      <c r="O39" s="105">
        <f>SUM(L39:N39)</f>
        <v>2.2200000000000002</v>
      </c>
      <c r="P39" s="245">
        <f>'Rider Rates'!$D$90</f>
        <v>45747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156</v>
      </c>
      <c r="B40" s="78"/>
      <c r="C40" s="78"/>
      <c r="D40" s="195">
        <f>$N$21</f>
        <v>10</v>
      </c>
      <c r="E40" s="101" t="s">
        <v>122</v>
      </c>
      <c r="F40" s="102" t="s">
        <v>8</v>
      </c>
      <c r="G40" s="114"/>
      <c r="H40" s="115"/>
      <c r="I40" s="120">
        <f>'Rider Rates'!$B$105</f>
        <v>0.24140039999999999</v>
      </c>
      <c r="J40" s="120">
        <f t="shared" si="0"/>
        <v>0.24140039999999999</v>
      </c>
      <c r="K40" s="104"/>
      <c r="L40" s="105"/>
      <c r="M40" s="105"/>
      <c r="N40" s="105">
        <f>ROUND(D40*I40,2)</f>
        <v>2.41</v>
      </c>
      <c r="O40" s="105">
        <f t="shared" ref="O40:O43" si="4">SUM(L40:N40)</f>
        <v>2.41</v>
      </c>
      <c r="P40" s="245">
        <f>'Rider Rates'!$D$105</f>
        <v>45716</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217</v>
      </c>
      <c r="B41" s="78"/>
      <c r="C41" s="78"/>
      <c r="D41" s="195"/>
      <c r="E41" s="113" t="s">
        <v>115</v>
      </c>
      <c r="F41" s="106"/>
      <c r="G41" s="114"/>
      <c r="H41" s="115"/>
      <c r="I41" s="258">
        <f>'Rider Rates'!B120</f>
        <v>0.97</v>
      </c>
      <c r="J41" s="196">
        <f t="shared" si="0"/>
        <v>0.97</v>
      </c>
      <c r="K41" s="104"/>
      <c r="L41" s="105"/>
      <c r="M41" s="105"/>
      <c r="N41" s="260">
        <f>I41</f>
        <v>0.97</v>
      </c>
      <c r="O41" s="105">
        <f t="shared" si="4"/>
        <v>0.97</v>
      </c>
      <c r="P41" s="245">
        <f>'Rider Rates'!D120</f>
        <v>45593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208</v>
      </c>
      <c r="B42" s="78"/>
      <c r="C42" s="78"/>
      <c r="D42" s="100">
        <f>IF($C$14&lt;1,0,$C$14)</f>
        <v>0</v>
      </c>
      <c r="E42" s="101" t="s">
        <v>41</v>
      </c>
      <c r="F42" s="249" t="s">
        <v>8</v>
      </c>
      <c r="G42" s="103"/>
      <c r="H42" s="103"/>
      <c r="I42" s="237">
        <f>'Rider Rates'!$B$117</f>
        <v>0</v>
      </c>
      <c r="J42" s="237">
        <f>SUM(G42:I42)</f>
        <v>0</v>
      </c>
      <c r="K42" s="104" t="s">
        <v>42</v>
      </c>
      <c r="L42" s="105"/>
      <c r="M42" s="105"/>
      <c r="N42" s="105">
        <f>D42*J42</f>
        <v>0</v>
      </c>
      <c r="O42" s="105">
        <f t="shared" si="4"/>
        <v>0</v>
      </c>
      <c r="P42" s="245">
        <f>'Rider Rates'!D117</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230</v>
      </c>
      <c r="B43" s="78"/>
      <c r="C43" s="78"/>
      <c r="D43" s="100"/>
      <c r="E43" s="101" t="s">
        <v>115</v>
      </c>
      <c r="F43" s="102" t="s">
        <v>8</v>
      </c>
      <c r="G43" s="263"/>
      <c r="H43" s="263"/>
      <c r="I43" s="263">
        <f>'Rider Rates'!$B$124</f>
        <v>0.1</v>
      </c>
      <c r="J43" s="263">
        <f>SUM(G43:I43)</f>
        <v>0.1</v>
      </c>
      <c r="K43" s="104"/>
      <c r="L43" s="209"/>
      <c r="M43" s="209"/>
      <c r="N43" s="209">
        <f>J43</f>
        <v>0.1</v>
      </c>
      <c r="O43" s="209">
        <f t="shared" si="4"/>
        <v>0.1</v>
      </c>
      <c r="P43" s="264">
        <f>'Rider Rates'!$E$124</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41" t="s">
        <v>242</v>
      </c>
      <c r="B44" s="78"/>
      <c r="C44" s="78"/>
      <c r="D44" s="100">
        <f>C14</f>
        <v>0</v>
      </c>
      <c r="E44" s="101" t="s">
        <v>41</v>
      </c>
      <c r="F44" s="249" t="s">
        <v>8</v>
      </c>
      <c r="G44" s="103"/>
      <c r="H44" s="103"/>
      <c r="I44" s="103">
        <f>'Rider Rates'!$B$129</f>
        <v>0</v>
      </c>
      <c r="J44" s="237">
        <f>SUM(G44:I44)</f>
        <v>0</v>
      </c>
      <c r="K44" s="104" t="s">
        <v>42</v>
      </c>
      <c r="L44" s="105"/>
      <c r="M44" s="105"/>
      <c r="N44" s="105">
        <f>D44*J44</f>
        <v>0</v>
      </c>
      <c r="O44" s="105">
        <f>SUM(L44:N44)</f>
        <v>0</v>
      </c>
      <c r="P44" s="245">
        <f>'Rider Rates'!D129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241</v>
      </c>
      <c r="B45" s="78"/>
      <c r="C45" s="78"/>
      <c r="D45" s="100"/>
      <c r="E45" s="101" t="s">
        <v>115</v>
      </c>
      <c r="F45" s="102" t="s">
        <v>8</v>
      </c>
      <c r="G45" s="263"/>
      <c r="H45" s="263"/>
      <c r="I45" s="263">
        <f>'Rider Rates'!$B$136</f>
        <v>0</v>
      </c>
      <c r="J45" s="263">
        <f>SUM(G45:I45)</f>
        <v>0</v>
      </c>
      <c r="K45" s="104"/>
      <c r="L45" s="209"/>
      <c r="M45" s="209"/>
      <c r="N45" s="209">
        <f>J45</f>
        <v>0</v>
      </c>
      <c r="O45" s="209">
        <f>SUM(L45:N45)</f>
        <v>0</v>
      </c>
      <c r="P45" s="264">
        <f>'Rider Rates'!$D$132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41" t="s">
        <v>243</v>
      </c>
      <c r="B46" s="78"/>
      <c r="C46" s="78"/>
      <c r="D46" s="100"/>
      <c r="E46" s="101"/>
      <c r="F46" s="102"/>
      <c r="G46" s="263"/>
      <c r="H46" s="263"/>
      <c r="I46" s="263"/>
      <c r="J46" s="263"/>
      <c r="K46" s="104"/>
      <c r="L46" s="209"/>
      <c r="M46" s="209"/>
      <c r="N46" s="209"/>
      <c r="O46" s="209"/>
      <c r="P46" s="264"/>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179" t="s">
        <v>71</v>
      </c>
      <c r="B47" s="148"/>
      <c r="C47" s="148"/>
      <c r="D47" s="180"/>
      <c r="E47" s="181"/>
      <c r="F47" s="182"/>
      <c r="G47" s="182"/>
      <c r="H47" s="182"/>
      <c r="I47" s="182"/>
      <c r="J47" s="182"/>
      <c r="K47" s="183"/>
      <c r="L47" s="169">
        <f>SUM(L25:L46)</f>
        <v>0</v>
      </c>
      <c r="M47" s="169">
        <f t="shared" ref="M47:O47" si="5">SUM(M25:M46)</f>
        <v>0</v>
      </c>
      <c r="N47" s="169">
        <f t="shared" si="5"/>
        <v>7.7399999999999993</v>
      </c>
      <c r="O47" s="169">
        <f t="shared" si="5"/>
        <v>7.7399999999999993</v>
      </c>
      <c r="P47" s="184"/>
      <c r="Q47" s="106"/>
      <c r="R47" s="166"/>
      <c r="S47" s="166"/>
      <c r="T47" s="189"/>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c r="B48" s="78"/>
      <c r="C48" s="78"/>
      <c r="D48" s="100"/>
      <c r="E48" s="113"/>
      <c r="F48" s="106"/>
      <c r="G48" s="106"/>
      <c r="H48" s="106"/>
      <c r="I48" s="106"/>
      <c r="J48" s="107"/>
      <c r="K48" s="104"/>
      <c r="L48" s="106"/>
      <c r="M48" s="106"/>
      <c r="N48" s="106"/>
      <c r="O48" s="106"/>
      <c r="P48" s="164"/>
      <c r="Q48" s="106"/>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170"/>
      <c r="B49" s="170"/>
      <c r="C49" s="170"/>
      <c r="D49" s="170"/>
      <c r="E49" s="170"/>
      <c r="F49" s="170"/>
      <c r="G49" s="170"/>
      <c r="H49" s="170"/>
      <c r="I49" s="170"/>
      <c r="J49" s="170"/>
      <c r="K49" s="170"/>
      <c r="L49" s="186">
        <f>L21+L47</f>
        <v>0</v>
      </c>
      <c r="M49" s="186">
        <f>M21+M47</f>
        <v>0</v>
      </c>
      <c r="N49" s="186">
        <f>N21+N47</f>
        <v>17.739999999999998</v>
      </c>
      <c r="O49" s="187">
        <f>O21+O47</f>
        <v>17.739999999999998</v>
      </c>
      <c r="P49" s="187"/>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c r="B50" s="78"/>
      <c r="C50" s="78"/>
      <c r="D50" s="78"/>
      <c r="E50" s="78"/>
      <c r="F50" s="78"/>
      <c r="G50" s="78"/>
      <c r="H50" s="78"/>
      <c r="I50" s="78"/>
      <c r="J50" s="78"/>
      <c r="K50" s="78"/>
      <c r="L50" s="78"/>
      <c r="M50" s="78"/>
      <c r="N50" s="151"/>
      <c r="O50" s="151"/>
      <c r="P50" s="151"/>
      <c r="Q50" s="16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166" t="s">
        <v>93</v>
      </c>
      <c r="B51" s="78"/>
      <c r="C51" s="78"/>
      <c r="D51" s="78"/>
      <c r="E51" s="78"/>
      <c r="F51" s="78"/>
      <c r="G51" s="78"/>
      <c r="H51" s="78"/>
      <c r="I51" s="78"/>
      <c r="J51" s="78"/>
      <c r="K51" s="78"/>
      <c r="L51" s="78"/>
      <c r="M51" s="78"/>
      <c r="N51" s="78"/>
      <c r="O51" s="109">
        <f>IF($C$14&lt;=0,MIN(O19,O49), O19)</f>
        <v>10</v>
      </c>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c r="B52" s="166"/>
      <c r="C52" s="166"/>
      <c r="D52" s="166"/>
      <c r="E52" s="166"/>
      <c r="F52" s="166"/>
      <c r="G52" s="166"/>
      <c r="H52" s="166"/>
      <c r="I52" s="78"/>
      <c r="J52" s="78"/>
      <c r="K52" s="78"/>
      <c r="L52" s="78"/>
      <c r="M52" s="78"/>
      <c r="N52" s="151"/>
      <c r="O52" s="151"/>
      <c r="P52" s="151"/>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48" t="s">
        <v>117</v>
      </c>
      <c r="B53" s="151"/>
      <c r="C53" s="151"/>
      <c r="D53" s="151"/>
      <c r="E53" s="151"/>
      <c r="F53" s="151"/>
      <c r="G53" s="151"/>
      <c r="H53" s="151"/>
      <c r="I53" s="151"/>
      <c r="J53" s="151"/>
      <c r="K53" s="151"/>
      <c r="L53" s="151"/>
      <c r="M53" s="151"/>
      <c r="N53" s="151"/>
      <c r="O53" s="190">
        <f>IF($C$14&lt;0,O49,IF(O49&gt;O51,O49,I48))</f>
        <v>17.739999999999998</v>
      </c>
      <c r="P53" s="160"/>
      <c r="Q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151"/>
      <c r="C54" s="151"/>
      <c r="D54" s="151"/>
      <c r="E54" s="151"/>
      <c r="F54" s="151"/>
      <c r="G54" s="151"/>
      <c r="H54" s="151"/>
      <c r="I54" s="151"/>
      <c r="J54" s="151"/>
      <c r="K54" s="151"/>
      <c r="L54" s="151"/>
      <c r="M54" s="151"/>
      <c r="N54" s="151"/>
      <c r="O54" s="138"/>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166"/>
      <c r="C55" s="166"/>
      <c r="D55" s="166"/>
      <c r="E55" s="166"/>
      <c r="F55" s="166"/>
      <c r="G55" s="166"/>
      <c r="H55" s="166"/>
      <c r="I55" s="166" t="s">
        <v>121</v>
      </c>
      <c r="J55" s="166"/>
      <c r="K55" s="166"/>
      <c r="L55" s="191"/>
      <c r="M55" s="191"/>
      <c r="N55" s="191"/>
      <c r="O55" s="191">
        <f>ROUND(IF($C$14&lt;1,0,O49/($C$14*100)*10000),2)</f>
        <v>0</v>
      </c>
      <c r="P55" s="37" t="s">
        <v>87</v>
      </c>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row>
    <row r="56" spans="1:236" x14ac:dyDescent="0.2">
      <c r="A56" s="78"/>
      <c r="B56" s="78"/>
      <c r="C56" s="78"/>
      <c r="D56" s="78"/>
      <c r="E56" s="78"/>
      <c r="F56" s="78"/>
      <c r="G56" s="78"/>
      <c r="H56" s="192"/>
      <c r="I56" s="242" t="s">
        <v>190</v>
      </c>
      <c r="J56" s="78"/>
      <c r="K56" s="78"/>
      <c r="L56" s="78"/>
      <c r="M56" s="78"/>
      <c r="N56" s="78"/>
      <c r="O56" s="243">
        <f>ROUND(IF($C$14&lt;1,0,(L49)/($C$14*100)*10000),2)</f>
        <v>0</v>
      </c>
      <c r="P56" s="25" t="s">
        <v>87</v>
      </c>
      <c r="Q56" s="78"/>
      <c r="AE56" s="78"/>
      <c r="AF56" s="78"/>
      <c r="AG56" s="78"/>
      <c r="AH56" s="78"/>
      <c r="AI56" s="78"/>
      <c r="AJ56" s="78"/>
      <c r="AK56" s="78"/>
      <c r="AL56" s="78"/>
      <c r="AM56" s="78"/>
      <c r="AN56" s="78"/>
      <c r="AO56" s="78"/>
      <c r="AP56" s="78"/>
      <c r="AQ56" s="78"/>
      <c r="AR56" s="78"/>
      <c r="AS56" s="78"/>
      <c r="AT56" s="78"/>
      <c r="HE56" s="78"/>
      <c r="HF56" s="78"/>
      <c r="HG56" s="78"/>
      <c r="HH56" s="78"/>
      <c r="HI56" s="78"/>
      <c r="HJ56" s="78"/>
      <c r="HK56" s="78"/>
      <c r="HL56" s="78"/>
      <c r="HM56" s="78"/>
      <c r="HN56" s="78"/>
    </row>
    <row r="57" spans="1:236" x14ac:dyDescent="0.2">
      <c r="A57" s="78"/>
    </row>
    <row r="58" spans="1:236" x14ac:dyDescent="0.2">
      <c r="A58" s="78"/>
    </row>
    <row r="59" spans="1:236" x14ac:dyDescent="0.2">
      <c r="A59" s="78"/>
    </row>
    <row r="60" spans="1:236" x14ac:dyDescent="0.2">
      <c r="A60" s="78"/>
    </row>
    <row r="61" spans="1:236" x14ac:dyDescent="0.2">
      <c r="A61" s="78"/>
    </row>
    <row r="62" spans="1:236" x14ac:dyDescent="0.2">
      <c r="A62" s="78"/>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2"/>
  <sheetViews>
    <sheetView topLeftCell="A22" zoomScale="80" zoomScaleNormal="80" workbookViewId="0">
      <selection activeCell="K52" sqref="K52"/>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316</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45806</v>
      </c>
      <c r="B6" s="332" t="s">
        <v>317</v>
      </c>
      <c r="C6" s="332"/>
      <c r="D6" s="332"/>
      <c r="E6" s="332"/>
      <c r="F6" s="332"/>
      <c r="G6" s="332"/>
      <c r="H6" s="332"/>
      <c r="I6" s="332"/>
      <c r="J6" s="332"/>
      <c r="K6" s="332"/>
      <c r="L6" s="332"/>
      <c r="M6" s="332"/>
      <c r="N6" s="332"/>
      <c r="O6" s="332"/>
    </row>
    <row r="7" spans="1:30" x14ac:dyDescent="0.2">
      <c r="A7" s="504" t="s">
        <v>15</v>
      </c>
      <c r="B7" s="504"/>
      <c r="C7" s="504"/>
      <c r="D7" s="504"/>
      <c r="E7" s="504"/>
      <c r="F7" s="504"/>
      <c r="G7" s="504"/>
      <c r="H7" s="504"/>
      <c r="I7" s="504"/>
      <c r="J7" s="504"/>
      <c r="K7" s="504"/>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6</v>
      </c>
      <c r="C11" s="340" t="str">
        <f>LOOKUP(B11,R11:AD11,R12:AD12)</f>
        <v>June</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56" t="s">
        <v>32</v>
      </c>
      <c r="G21" s="357"/>
      <c r="H21" s="357"/>
      <c r="I21" s="250">
        <f>'Rider Rates'!B141</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c r="H36" s="386"/>
      <c r="I36" s="386"/>
      <c r="J36" s="393">
        <f>SUM(G36:H36)</f>
        <v>0</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c r="H37" s="386"/>
      <c r="I37" s="386"/>
      <c r="J37" s="393">
        <f>SUM(G37:H37)</f>
        <v>0</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c r="H38" s="386"/>
      <c r="I38" s="386"/>
      <c r="J38" s="393">
        <f>SUM(G38:H38)</f>
        <v>0</v>
      </c>
      <c r="K38" s="364" t="s">
        <v>42</v>
      </c>
      <c r="L38" s="250">
        <f>ROUND(D38*G38,2)</f>
        <v>0</v>
      </c>
      <c r="M38" s="250"/>
      <c r="N38" s="250"/>
      <c r="O38" s="250">
        <f>SUM(L38:N38)</f>
        <v>0</v>
      </c>
      <c r="P38" s="358">
        <f>'Rider Rates'!$D$45</f>
        <v>45747</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1.17</v>
      </c>
      <c r="J39" s="386">
        <f>SUM(G39:I39)</f>
        <v>1.17</v>
      </c>
      <c r="K39" s="364" t="s">
        <v>42</v>
      </c>
      <c r="L39" s="250"/>
      <c r="M39" s="250"/>
      <c r="N39" s="250">
        <f>J39</f>
        <v>1.17</v>
      </c>
      <c r="O39" s="250">
        <f>SUM(L39:N39)</f>
        <v>1.17</v>
      </c>
      <c r="P39" s="358">
        <f>'Rider Rates'!E48</f>
        <v>45658</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3.5317099999999997E-2</v>
      </c>
      <c r="I40" s="386"/>
      <c r="J40" s="386">
        <f>SUM(G40:I40)</f>
        <v>3.5317099999999997E-2</v>
      </c>
      <c r="K40" s="364" t="s">
        <v>42</v>
      </c>
      <c r="L40" s="250"/>
      <c r="M40" s="250">
        <f>ROUND(D40*H40,2)</f>
        <v>0</v>
      </c>
      <c r="N40" s="396"/>
      <c r="O40" s="250">
        <f t="shared" si="2"/>
        <v>0</v>
      </c>
      <c r="P40" s="358">
        <f>'Rider Rates'!$D$55</f>
        <v>45747</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1.9512100000000001E-2</v>
      </c>
      <c r="J43" s="398">
        <f t="shared" si="0"/>
        <v>1.9512100000000001E-2</v>
      </c>
      <c r="K43" s="364"/>
      <c r="L43" s="250"/>
      <c r="M43" s="250"/>
      <c r="N43" s="250">
        <f>ROUND(D43*I43,2)</f>
        <v>0.2</v>
      </c>
      <c r="O43" s="250">
        <f t="shared" si="2"/>
        <v>0.2</v>
      </c>
      <c r="P43" s="358">
        <f>'Rider Rates'!$D$85</f>
        <v>45747</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2.2200000000000002</v>
      </c>
      <c r="J45" s="400">
        <f t="shared" si="0"/>
        <v>2.2200000000000002</v>
      </c>
      <c r="K45" s="364"/>
      <c r="L45" s="250"/>
      <c r="M45" s="250"/>
      <c r="N45" s="250">
        <f>I45</f>
        <v>2.2200000000000002</v>
      </c>
      <c r="O45" s="250">
        <f t="shared" si="2"/>
        <v>2.2200000000000002</v>
      </c>
      <c r="P45" s="358">
        <f>'Rider Rates'!$D$90</f>
        <v>45747</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0.24140039999999999</v>
      </c>
      <c r="J47" s="398">
        <f t="shared" si="0"/>
        <v>0.24140039999999999</v>
      </c>
      <c r="K47" s="364"/>
      <c r="L47" s="250"/>
      <c r="M47" s="250"/>
      <c r="N47" s="250">
        <f>ROUND(D47*I47,2)</f>
        <v>2.41</v>
      </c>
      <c r="O47" s="250">
        <f t="shared" si="2"/>
        <v>2.41</v>
      </c>
      <c r="P47" s="358">
        <f>'Rider Rates'!$D$105</f>
        <v>45716</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c r="H49" s="386"/>
      <c r="I49" s="398"/>
      <c r="J49" s="393">
        <f>SUM(G49:H49)</f>
        <v>0</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Rates'!$B$124</f>
        <v>0.1</v>
      </c>
      <c r="J51" s="404">
        <f>SUM(G51:I51)</f>
        <v>0.1</v>
      </c>
      <c r="K51" s="364"/>
      <c r="L51" s="405"/>
      <c r="M51" s="405"/>
      <c r="N51" s="405">
        <f>J51</f>
        <v>0.1</v>
      </c>
      <c r="O51" s="405">
        <f>SUM(L51:N51)</f>
        <v>0.1</v>
      </c>
      <c r="P51" s="406">
        <f>'Rider Rates'!$E$124</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7.7399999999999993</v>
      </c>
      <c r="O55" s="412">
        <f t="shared" si="5"/>
        <v>7.7399999999999993</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17.739999999999998</v>
      </c>
      <c r="O57" s="417">
        <f>O24+O55</f>
        <v>17.739999999999998</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17.739999999999998</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topLeftCell="A23" zoomScale="80" zoomScaleNormal="80" workbookViewId="0">
      <selection activeCell="D36" sqref="D36"/>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269</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76">
        <f ca="1">TODAY()</f>
        <v>45806</v>
      </c>
      <c r="B6" s="210" t="s">
        <v>268</v>
      </c>
      <c r="C6" s="76"/>
      <c r="D6" s="76"/>
      <c r="E6" s="76"/>
      <c r="F6" s="76"/>
      <c r="G6" s="76"/>
      <c r="H6" s="76"/>
      <c r="I6" s="76"/>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6</v>
      </c>
      <c r="C11" s="194" t="str">
        <f>LOOKUP(B11,R11:AD11,R12:AD12)</f>
        <v>June</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f>'Rider Rates'!$D$7</f>
        <v>44531</v>
      </c>
    </row>
    <row r="22" spans="1:221" x14ac:dyDescent="0.2">
      <c r="A22" t="s">
        <v>73</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
      <c r="A23" t="s">
        <v>74</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x14ac:dyDescent="0.2">
      <c r="A24" s="37" t="s">
        <v>50</v>
      </c>
      <c r="B24" s="37"/>
      <c r="C24" s="37"/>
      <c r="D24" s="38"/>
      <c r="E24" s="38"/>
      <c r="F24" s="37"/>
      <c r="G24" s="37"/>
      <c r="H24" s="37"/>
      <c r="I24" s="37"/>
      <c r="J24" s="37"/>
      <c r="K24" s="39"/>
      <c r="L24" s="40"/>
      <c r="M24" s="40"/>
      <c r="N24" s="40">
        <f>SUM(N21:N23)</f>
        <v>9.4</v>
      </c>
      <c r="O24" s="40">
        <f>SUM(O21:O23)</f>
        <v>9.4</v>
      </c>
    </row>
    <row r="25" spans="1:221" x14ac:dyDescent="0.2">
      <c r="A25" s="89"/>
      <c r="B25" s="89"/>
      <c r="C25" s="90"/>
      <c r="D25" s="90"/>
      <c r="E25" s="90"/>
      <c r="F25" s="90"/>
      <c r="G25" s="91"/>
      <c r="H25" s="91"/>
      <c r="I25" s="91"/>
      <c r="J25" s="91"/>
      <c r="K25" s="89"/>
      <c r="L25" s="89"/>
      <c r="M25" s="89"/>
      <c r="N25" s="89"/>
      <c r="O25" s="89"/>
      <c r="P25" s="89"/>
    </row>
    <row r="26" spans="1:221" x14ac:dyDescent="0.2">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176"/>
      <c r="C28" s="176"/>
      <c r="D28" s="100">
        <f>IF($C$15&lt;0,0,IF($C$15&gt;833000,833000,$C$15))</f>
        <v>0</v>
      </c>
      <c r="E28" s="101" t="s">
        <v>41</v>
      </c>
      <c r="F28" s="102" t="s">
        <v>8</v>
      </c>
      <c r="G28" s="103"/>
      <c r="H28" s="103"/>
      <c r="I28" s="103">
        <f>'Rider Rates'!$B$4</f>
        <v>4.6278999999999999E-3</v>
      </c>
      <c r="J28" s="103">
        <f t="shared" ref="J28:J43" si="0">SUM(G28:I28)</f>
        <v>4.6278999999999999E-3</v>
      </c>
      <c r="K28" s="104" t="s">
        <v>42</v>
      </c>
      <c r="L28" s="105"/>
      <c r="M28" s="105"/>
      <c r="N28" s="105">
        <f t="shared" ref="N28:N33" si="1">ROUND(D28*I28,2)</f>
        <v>0</v>
      </c>
      <c r="O28" s="105">
        <f t="shared" ref="O28:O43" si="2">SUM(L28:N28)</f>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45657</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237</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2"/>
        <v>0</v>
      </c>
      <c r="P35" s="245">
        <f>'Rider Rates'!E49</f>
        <v>45658</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2"/>
        <v>0</v>
      </c>
      <c r="P36" s="245">
        <f>'Rider Rates'!$D$56</f>
        <v>45747</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Rates'!$B$70+'Rider Rates'!$C$70</f>
        <v>0</v>
      </c>
      <c r="J37" s="103">
        <f t="shared" si="0"/>
        <v>0</v>
      </c>
      <c r="K37" s="104" t="s">
        <v>42</v>
      </c>
      <c r="L37" s="105"/>
      <c r="M37" s="105"/>
      <c r="N37" s="105">
        <f>ROUND($D$37*'Rider Rates'!$B$70,2)+ROUND($D$37*'Rider Rates'!$C$70,2)</f>
        <v>0</v>
      </c>
      <c r="O37" s="105">
        <f t="shared" si="2"/>
        <v>0</v>
      </c>
      <c r="P37" s="245">
        <f>'Rider Rates'!$D$70</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Rates'!$B$77</f>
        <v>0</v>
      </c>
      <c r="J38" s="196">
        <f>IF('Customer Info'!C34=TRUE,0,SUM(G38:I38))</f>
        <v>0</v>
      </c>
      <c r="K38" s="104"/>
      <c r="L38" s="105"/>
      <c r="M38" s="105"/>
      <c r="N38" s="105">
        <f>J38</f>
        <v>0</v>
      </c>
      <c r="O38" s="105">
        <f>SUM(L38:N38)</f>
        <v>0</v>
      </c>
      <c r="P38" s="245">
        <f>'Rider Rates'!$D$77</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$N$24</f>
        <v>9.4</v>
      </c>
      <c r="E39" s="101" t="s">
        <v>122</v>
      </c>
      <c r="F39" s="102" t="s">
        <v>8</v>
      </c>
      <c r="G39" s="111"/>
      <c r="H39" s="112"/>
      <c r="I39" s="120">
        <f>'Rider Rates'!$B$85</f>
        <v>1.9512100000000001E-2</v>
      </c>
      <c r="J39" s="120">
        <f t="shared" si="0"/>
        <v>1.9512100000000001E-2</v>
      </c>
      <c r="K39" s="104"/>
      <c r="L39" s="105"/>
      <c r="M39" s="105"/>
      <c r="N39" s="105">
        <f>ROUND(D39*I39,2)</f>
        <v>0.18</v>
      </c>
      <c r="O39" s="105">
        <f t="shared" si="2"/>
        <v>0.18</v>
      </c>
      <c r="P39" s="245">
        <f>'Rider Rates'!$D$85</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$N$24</f>
        <v>9.4</v>
      </c>
      <c r="E40" s="101" t="s">
        <v>122</v>
      </c>
      <c r="F40" s="102" t="s">
        <v>8</v>
      </c>
      <c r="G40" s="114"/>
      <c r="H40" s="115"/>
      <c r="I40" s="120">
        <f>'Rider Rates'!$B$87</f>
        <v>6.6985699999999995E-2</v>
      </c>
      <c r="J40" s="120">
        <f t="shared" si="0"/>
        <v>6.6985699999999995E-2</v>
      </c>
      <c r="K40" s="104"/>
      <c r="L40" s="105"/>
      <c r="M40" s="105"/>
      <c r="N40" s="105">
        <f>ROUND(D40*I40,2)</f>
        <v>0.63</v>
      </c>
      <c r="O40" s="105">
        <f t="shared" si="2"/>
        <v>0.63</v>
      </c>
      <c r="P40" s="245">
        <f>'Rider Rates'!$D$87</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18.72</v>
      </c>
      <c r="J41" s="196">
        <f t="shared" si="0"/>
        <v>18.72</v>
      </c>
      <c r="K41" s="104"/>
      <c r="L41" s="105"/>
      <c r="M41" s="105"/>
      <c r="N41" s="105">
        <f>I41</f>
        <v>18.72</v>
      </c>
      <c r="O41" s="105">
        <f t="shared" si="2"/>
        <v>18.72</v>
      </c>
      <c r="P41" s="245">
        <f>'Rider Rates'!$D$91</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156</v>
      </c>
      <c r="B42" s="78"/>
      <c r="C42" s="78"/>
      <c r="D42" s="195">
        <f>$N$24</f>
        <v>9.4</v>
      </c>
      <c r="E42" s="101" t="s">
        <v>122</v>
      </c>
      <c r="F42" s="102" t="s">
        <v>8</v>
      </c>
      <c r="G42" s="114"/>
      <c r="H42" s="115"/>
      <c r="I42" s="120">
        <f>'Rider Rates'!$B$105</f>
        <v>0.24140039999999999</v>
      </c>
      <c r="J42" s="120">
        <f t="shared" si="0"/>
        <v>0.24140039999999999</v>
      </c>
      <c r="K42" s="104"/>
      <c r="L42" s="105"/>
      <c r="M42" s="105"/>
      <c r="N42" s="105">
        <f>ROUND(D42*I42,2)</f>
        <v>2.27</v>
      </c>
      <c r="O42" s="105">
        <f t="shared" si="2"/>
        <v>2.27</v>
      </c>
      <c r="P42" s="245">
        <f>'Rider Rates'!$D$105</f>
        <v>45716</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217</v>
      </c>
      <c r="B43" s="78"/>
      <c r="C43" s="78"/>
      <c r="D43" s="195"/>
      <c r="E43" s="113" t="s">
        <v>115</v>
      </c>
      <c r="F43" s="106"/>
      <c r="G43" s="114"/>
      <c r="H43" s="115"/>
      <c r="I43" s="258">
        <f>'Rider Rates'!B121</f>
        <v>4.84</v>
      </c>
      <c r="J43" s="196">
        <f t="shared" si="0"/>
        <v>4.84</v>
      </c>
      <c r="K43" s="104"/>
      <c r="L43" s="105"/>
      <c r="M43" s="105"/>
      <c r="N43" s="260">
        <f>I43</f>
        <v>4.84</v>
      </c>
      <c r="O43" s="105">
        <f t="shared" si="2"/>
        <v>4.84</v>
      </c>
      <c r="P43" s="245">
        <f>'Rider Rates'!D121</f>
        <v>45593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208</v>
      </c>
      <c r="B44" s="78"/>
      <c r="C44" s="78"/>
      <c r="D44" s="100">
        <f>IF($C$15&lt;1,0,$C$15)</f>
        <v>0</v>
      </c>
      <c r="E44" s="101" t="s">
        <v>41</v>
      </c>
      <c r="F44" s="249" t="s">
        <v>8</v>
      </c>
      <c r="G44" s="165"/>
      <c r="H44" s="165"/>
      <c r="I44" s="251">
        <f>'Rider Rates'!B118</f>
        <v>0</v>
      </c>
      <c r="J44" s="251">
        <f>SUM(G44:I44)</f>
        <v>0</v>
      </c>
      <c r="K44" s="104" t="s">
        <v>42</v>
      </c>
      <c r="L44" s="105"/>
      <c r="M44" s="105"/>
      <c r="N44" s="105">
        <f>D44*J44</f>
        <v>0</v>
      </c>
      <c r="O44" s="105">
        <f>SUM(L44:N44)</f>
        <v>0</v>
      </c>
      <c r="P44" s="245">
        <f>'Rider Rates'!D118</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78" t="s">
        <v>233</v>
      </c>
      <c r="B45" s="78"/>
      <c r="C45" s="78"/>
      <c r="D45" s="100">
        <f>IF(C15&lt;0,0,IF(C15&gt;833000,833000,C15))</f>
        <v>0</v>
      </c>
      <c r="E45" s="101" t="s">
        <v>41</v>
      </c>
      <c r="F45" s="102" t="s">
        <v>8</v>
      </c>
      <c r="G45" s="265"/>
      <c r="H45" s="265"/>
      <c r="I45" s="265">
        <f>'Rider Rates'!B125</f>
        <v>2.9050000000000001E-4</v>
      </c>
      <c r="J45" s="265">
        <f>SUM(G45:I45)</f>
        <v>2.9050000000000001E-4</v>
      </c>
      <c r="K45" s="104" t="s">
        <v>42</v>
      </c>
      <c r="L45" s="266"/>
      <c r="M45" s="266"/>
      <c r="N45" s="266">
        <f>IF(D45*J45&gt;'Rider Rates'!$C$125,'Rider Rates'!$C$125,D45*J45)</f>
        <v>0</v>
      </c>
      <c r="O45" s="266">
        <f>SUM(L45:N45)</f>
        <v>0</v>
      </c>
      <c r="P45" s="264">
        <f>'Rider Rates'!$E$125</f>
        <v>45658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78" t="s">
        <v>234</v>
      </c>
      <c r="B46" s="78"/>
      <c r="C46" s="78"/>
      <c r="D46" s="123">
        <f>IF(C15&gt;833000,C15-833000,0)</f>
        <v>0</v>
      </c>
      <c r="E46" s="101" t="s">
        <v>41</v>
      </c>
      <c r="F46" s="102" t="s">
        <v>8</v>
      </c>
      <c r="G46" s="265"/>
      <c r="H46" s="265"/>
      <c r="I46" s="265">
        <f>'Rider Rates'!B126</f>
        <v>0</v>
      </c>
      <c r="J46" s="265">
        <f>SUM(G46:I46)</f>
        <v>0</v>
      </c>
      <c r="K46" s="104" t="s">
        <v>42</v>
      </c>
      <c r="L46" s="266"/>
      <c r="M46" s="266"/>
      <c r="N46" s="266">
        <f>D46*J46</f>
        <v>0</v>
      </c>
      <c r="O46" s="266">
        <f>SUM(L46:N46)</f>
        <v>0</v>
      </c>
      <c r="P46" s="264">
        <f>'Rider Rates'!$E$126</f>
        <v>45658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41" t="s">
        <v>242</v>
      </c>
      <c r="B47" s="78"/>
      <c r="C47" s="78"/>
      <c r="D47" s="100">
        <f>C15</f>
        <v>0</v>
      </c>
      <c r="E47" s="101" t="s">
        <v>41</v>
      </c>
      <c r="F47" s="249" t="s">
        <v>8</v>
      </c>
      <c r="G47" s="103"/>
      <c r="H47" s="103"/>
      <c r="I47" s="103">
        <f>'Rider Rates'!$B$130</f>
        <v>0</v>
      </c>
      <c r="J47" s="237">
        <f>SUM(G47:I47)</f>
        <v>0</v>
      </c>
      <c r="K47" s="104" t="s">
        <v>42</v>
      </c>
      <c r="L47" s="105"/>
      <c r="M47" s="105"/>
      <c r="N47" s="105">
        <f>D47*J47</f>
        <v>0</v>
      </c>
      <c r="O47" s="105">
        <f>SUM(L47:N47)</f>
        <v>0</v>
      </c>
      <c r="P47" s="245">
        <f>'Rider Rates'!$D$130</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241</v>
      </c>
      <c r="B48" s="78"/>
      <c r="C48" s="78"/>
      <c r="D48" s="100"/>
      <c r="E48" s="101" t="s">
        <v>115</v>
      </c>
      <c r="F48" s="102" t="s">
        <v>8</v>
      </c>
      <c r="G48" s="263"/>
      <c r="H48" s="263"/>
      <c r="I48" s="263">
        <f>'Rider Rates'!$B$137</f>
        <v>0</v>
      </c>
      <c r="J48" s="263">
        <f>SUM(G48:I48)</f>
        <v>0</v>
      </c>
      <c r="K48" s="104"/>
      <c r="L48" s="209"/>
      <c r="M48" s="209"/>
      <c r="N48" s="209">
        <f>J48</f>
        <v>0</v>
      </c>
      <c r="O48" s="209">
        <f>SUM(L48:N48)</f>
        <v>0</v>
      </c>
      <c r="P48" s="264">
        <f>'Rider Rates'!D137</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243</v>
      </c>
      <c r="B49" s="78"/>
      <c r="C49" s="78"/>
      <c r="D49" s="100"/>
      <c r="E49" s="101"/>
      <c r="F49" s="102"/>
      <c r="G49" s="263"/>
      <c r="H49" s="263"/>
      <c r="I49" s="263"/>
      <c r="J49" s="263"/>
      <c r="K49" s="104"/>
      <c r="L49" s="209"/>
      <c r="M49" s="209"/>
      <c r="N49" s="209"/>
      <c r="O49" s="209"/>
      <c r="P49" s="264"/>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179" t="s">
        <v>71</v>
      </c>
      <c r="B50" s="148"/>
      <c r="C50" s="148"/>
      <c r="D50" s="180"/>
      <c r="E50" s="181"/>
      <c r="F50" s="182"/>
      <c r="G50" s="182"/>
      <c r="H50" s="182"/>
      <c r="I50" s="182"/>
      <c r="J50" s="182"/>
      <c r="K50" s="183"/>
      <c r="L50" s="169">
        <f>SUM(L28:L49)</f>
        <v>0</v>
      </c>
      <c r="M50" s="169">
        <f t="shared" ref="M50:O50" si="3">SUM(M28:M49)</f>
        <v>0</v>
      </c>
      <c r="N50" s="169">
        <f t="shared" si="3"/>
        <v>26.639999999999997</v>
      </c>
      <c r="O50" s="169">
        <f t="shared" si="3"/>
        <v>26.639999999999997</v>
      </c>
      <c r="P50" s="18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c r="B51" s="78"/>
      <c r="C51" s="78"/>
      <c r="D51" s="100"/>
      <c r="E51" s="113"/>
      <c r="F51" s="106"/>
      <c r="G51" s="106"/>
      <c r="H51" s="106"/>
      <c r="I51" s="106"/>
      <c r="J51" s="107"/>
      <c r="K51" s="104"/>
      <c r="L51" s="106"/>
      <c r="M51" s="106"/>
      <c r="N51" s="106"/>
      <c r="O51" s="106"/>
      <c r="P51" s="1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85" t="s">
        <v>94</v>
      </c>
      <c r="B52" s="170"/>
      <c r="C52" s="170"/>
      <c r="D52" s="170"/>
      <c r="E52" s="170"/>
      <c r="F52" s="170"/>
      <c r="G52" s="170"/>
      <c r="H52" s="170"/>
      <c r="I52" s="170"/>
      <c r="J52" s="170"/>
      <c r="K52" s="170"/>
      <c r="L52" s="186">
        <f>L24+L50</f>
        <v>0</v>
      </c>
      <c r="M52" s="186">
        <f>M24+M50</f>
        <v>0</v>
      </c>
      <c r="N52" s="186">
        <f>N24+N50</f>
        <v>36.04</v>
      </c>
      <c r="O52" s="187">
        <f>O24+O50</f>
        <v>36.04</v>
      </c>
      <c r="P52" s="187"/>
      <c r="Q52" s="106"/>
      <c r="R52" s="188"/>
      <c r="S52" s="108"/>
      <c r="T52" s="109"/>
      <c r="U52" s="78"/>
      <c r="V52" s="10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78"/>
      <c r="E53" s="78"/>
      <c r="F53" s="78"/>
      <c r="G53" s="78"/>
      <c r="H53" s="78"/>
      <c r="I53" s="78"/>
      <c r="J53" s="78"/>
      <c r="K53" s="78"/>
      <c r="L53" s="78"/>
      <c r="M53" s="78"/>
      <c r="N53" s="151"/>
      <c r="O53" s="151"/>
      <c r="P53" s="151"/>
      <c r="Q53" s="16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66" t="s">
        <v>93</v>
      </c>
      <c r="B55" s="78"/>
      <c r="C55" s="78"/>
      <c r="D55" s="78"/>
      <c r="E55" s="78"/>
      <c r="F55" s="78"/>
      <c r="G55" s="78"/>
      <c r="H55" s="78"/>
      <c r="I55" s="78"/>
      <c r="J55" s="78"/>
      <c r="K55" s="78"/>
      <c r="L55" s="78"/>
      <c r="M55" s="78"/>
      <c r="N55" s="78"/>
      <c r="O55" s="109">
        <f>O21+O50</f>
        <v>36.04</v>
      </c>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15</v>
      </c>
      <c r="B56" s="166"/>
      <c r="C56" s="166"/>
      <c r="D56" s="166"/>
      <c r="E56" s="166"/>
      <c r="F56" s="166"/>
      <c r="G56" s="166"/>
      <c r="H56" s="166"/>
      <c r="I56" s="78"/>
      <c r="J56" s="78"/>
      <c r="K56" s="78"/>
      <c r="L56" s="78"/>
      <c r="M56" s="78"/>
      <c r="N56" s="151"/>
      <c r="O56" s="151"/>
      <c r="P56" s="151"/>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48" t="s">
        <v>117</v>
      </c>
      <c r="B57" s="151"/>
      <c r="C57" s="151"/>
      <c r="D57" s="151"/>
      <c r="E57" s="151"/>
      <c r="F57" s="151"/>
      <c r="G57" s="151"/>
      <c r="H57" s="151"/>
      <c r="I57" s="151"/>
      <c r="J57" s="151"/>
      <c r="K57" s="151"/>
      <c r="L57" s="151"/>
      <c r="M57" s="151"/>
      <c r="N57" s="151"/>
      <c r="O57" s="190">
        <f>IF($D$17&lt;0,O52,IF(O52&gt;O55,O52,O55))</f>
        <v>36.04</v>
      </c>
      <c r="P57" s="160"/>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5" customHeight="1" x14ac:dyDescent="0.2">
      <c r="A58" s="148"/>
      <c r="B58" s="151"/>
      <c r="C58" s="151"/>
      <c r="D58" s="151"/>
      <c r="E58" s="151"/>
      <c r="F58" s="151"/>
      <c r="G58" s="151"/>
      <c r="H58" s="151"/>
      <c r="I58" s="151"/>
      <c r="J58" s="151"/>
      <c r="K58" s="151"/>
      <c r="L58" s="151"/>
      <c r="M58" s="151"/>
      <c r="N58" s="151"/>
      <c r="O58" s="190"/>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row>
    <row r="59" spans="1:236" x14ac:dyDescent="0.2">
      <c r="A59" s="148"/>
      <c r="B59" s="166"/>
      <c r="C59" s="166"/>
      <c r="D59" s="166"/>
      <c r="E59" s="166"/>
      <c r="F59" s="166"/>
      <c r="G59" s="166"/>
      <c r="H59" s="166"/>
      <c r="I59" s="166" t="s">
        <v>121</v>
      </c>
      <c r="J59" s="166"/>
      <c r="K59" s="166"/>
      <c r="L59" s="191"/>
      <c r="M59" s="191"/>
      <c r="N59" s="191"/>
      <c r="O59" s="191">
        <f>ROUND(IF($C$15&lt;1,0,O52/($C$15*100)*10000),2)</f>
        <v>0</v>
      </c>
      <c r="P59" s="37" t="s">
        <v>87</v>
      </c>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HE59" s="78"/>
      <c r="HF59" s="78"/>
      <c r="HG59" s="78"/>
      <c r="HH59" s="78"/>
      <c r="HI59" s="78"/>
      <c r="HJ59" s="78"/>
      <c r="HK59" s="78"/>
      <c r="HL59" s="78"/>
      <c r="HM59" s="78"/>
      <c r="HN59" s="78"/>
    </row>
    <row r="60" spans="1:236" x14ac:dyDescent="0.2">
      <c r="B60" s="78"/>
      <c r="C60" s="78"/>
      <c r="D60" s="78"/>
      <c r="E60" s="78"/>
      <c r="F60" s="78"/>
      <c r="G60" s="78"/>
      <c r="H60" s="192"/>
      <c r="I60" s="242" t="s">
        <v>190</v>
      </c>
      <c r="J60" s="78"/>
      <c r="K60" s="78"/>
      <c r="L60" s="78"/>
      <c r="M60" s="78"/>
      <c r="N60" s="78"/>
      <c r="O60" s="243">
        <f>ROUND(IF($C$15&lt;1,0,(L52)/($C$15*100)*10000),2)</f>
        <v>0</v>
      </c>
      <c r="P60" s="25" t="s">
        <v>87</v>
      </c>
      <c r="Q60" s="78"/>
      <c r="R60" s="78"/>
      <c r="S60" s="78"/>
      <c r="T60" s="78"/>
      <c r="U60" s="78"/>
      <c r="V60" s="78"/>
      <c r="W60" s="78"/>
      <c r="X60" s="78"/>
      <c r="Y60" s="78"/>
      <c r="Z60" s="78"/>
      <c r="AA60" s="78"/>
      <c r="AB60" s="78"/>
      <c r="AC60" s="78"/>
      <c r="AD60" s="78"/>
      <c r="AE60" s="78"/>
      <c r="AF60" s="78"/>
      <c r="AG60" s="78"/>
      <c r="AH60" s="78"/>
      <c r="AI60" s="78"/>
      <c r="AJ60" s="78"/>
      <c r="AK60" s="78"/>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topLeftCell="A19"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84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327">
        <f ca="1">TODAY()</f>
        <v>45806</v>
      </c>
      <c r="B6" s="210" t="s">
        <v>229</v>
      </c>
      <c r="C6" s="327"/>
      <c r="D6" s="327"/>
      <c r="E6" s="327"/>
      <c r="F6" s="327"/>
      <c r="G6" s="327"/>
      <c r="H6" s="327"/>
      <c r="I6" s="327"/>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6</v>
      </c>
      <c r="C11" s="194" t="str">
        <f>LOOKUP(B11,R11:AD11,R12:AD12)</f>
        <v>June</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45747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18.72</v>
      </c>
      <c r="J44" s="196">
        <f t="shared" si="0"/>
        <v>18.72</v>
      </c>
      <c r="K44" s="104"/>
      <c r="L44" s="105"/>
      <c r="M44" s="105"/>
      <c r="N44" s="105">
        <f>I44</f>
        <v>18.72</v>
      </c>
      <c r="O44" s="105">
        <f t="shared" si="2"/>
        <v>18.72</v>
      </c>
      <c r="P44" s="245">
        <f>'Rider Rates'!$D$91</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0.24140039999999999</v>
      </c>
      <c r="J46" s="120">
        <f t="shared" si="0"/>
        <v>0.24140039999999999</v>
      </c>
      <c r="K46" s="104"/>
      <c r="L46" s="105"/>
      <c r="M46" s="105"/>
      <c r="N46" s="105">
        <f>ROUND(D46*I46,2)</f>
        <v>2.27</v>
      </c>
      <c r="O46" s="105">
        <f t="shared" si="2"/>
        <v>2.27</v>
      </c>
      <c r="P46" s="245">
        <f>'Rider Rates'!$D$105</f>
        <v>45716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c r="H48" s="103"/>
      <c r="I48" s="120"/>
      <c r="J48" s="237">
        <f>SUM(G48:H48)</f>
        <v>0</v>
      </c>
      <c r="K48" s="104" t="s">
        <v>42</v>
      </c>
      <c r="L48" s="105"/>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26.639999999999997</v>
      </c>
      <c r="O55" s="169">
        <f t="shared" si="3"/>
        <v>26.639999999999997</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36.04</v>
      </c>
      <c r="O57" s="187">
        <f>O23+O55</f>
        <v>36.04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36.04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36.04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topLeftCell="A21" zoomScale="80" zoomScaleNormal="80" workbookViewId="0">
      <selection activeCell="D42" sqref="D4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288</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282">
        <f ca="1">TODAY()</f>
        <v>45806</v>
      </c>
      <c r="B6" s="99" t="s">
        <v>290</v>
      </c>
      <c r="C6" s="282"/>
      <c r="D6" s="282"/>
      <c r="E6" s="282"/>
      <c r="F6" s="282"/>
      <c r="G6" s="282"/>
      <c r="H6" s="282"/>
      <c r="I6" s="282"/>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6</v>
      </c>
      <c r="C10" s="194" t="str">
        <f>LOOKUP(B10,R10:AD10,R11:AD11)</f>
        <v>June</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 OAD'!C20,1),ROUND('Customer Info'!$B$19*'GS SEC OAD'!C20,1))/'Customer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 OAD'!C20,'Customer Info'!$B$19*'GS SEC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45658</v>
      </c>
    </row>
    <row r="41" spans="1:221" x14ac:dyDescent="0.2">
      <c r="A41" s="210" t="s">
        <v>189</v>
      </c>
      <c r="B41" s="78"/>
      <c r="C41" s="78"/>
      <c r="D41" s="1">
        <f>IF($C$16&lt;0,0,$C$16)</f>
        <v>0</v>
      </c>
      <c r="E41" s="113" t="s">
        <v>41</v>
      </c>
      <c r="F41" s="102" t="s">
        <v>8</v>
      </c>
      <c r="G41" s="103"/>
      <c r="H41" s="103">
        <f>'Rider Rates'!$B$57</f>
        <v>4.5750000000000001E-4</v>
      </c>
      <c r="I41" s="103"/>
      <c r="J41" s="103">
        <f>SUM(G41:I41)</f>
        <v>4.5750000000000001E-4</v>
      </c>
      <c r="K41" s="104" t="s">
        <v>42</v>
      </c>
      <c r="L41" s="105"/>
      <c r="M41" s="105">
        <f>ROUND(D41*H41,2)</f>
        <v>0</v>
      </c>
      <c r="N41" s="205"/>
      <c r="O41" s="105">
        <f t="shared" si="0"/>
        <v>0</v>
      </c>
      <c r="P41" s="245">
        <f>'Rider Rates'!$D$57</f>
        <v>45747</v>
      </c>
    </row>
    <row r="42" spans="1:221" x14ac:dyDescent="0.2">
      <c r="A42" s="210" t="s">
        <v>189</v>
      </c>
      <c r="B42" s="78"/>
      <c r="C42" s="78"/>
      <c r="D42" s="49">
        <f>ROUND(MAX(D14,('Customer Info'!B14-100)*0.6,('Customer Info'!B16-100)*0.6),1)</f>
        <v>0</v>
      </c>
      <c r="E42" s="35" t="s">
        <v>64</v>
      </c>
      <c r="F42" s="4" t="s">
        <v>8</v>
      </c>
      <c r="G42" s="103"/>
      <c r="H42" s="239">
        <f>'Rider Rates'!$B$62</f>
        <v>6.95</v>
      </c>
      <c r="I42" s="103"/>
      <c r="J42" s="239">
        <f>SUM(G42:I42)</f>
        <v>6.95</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9.4</v>
      </c>
      <c r="E45" s="101" t="s">
        <v>122</v>
      </c>
      <c r="F45" s="102" t="s">
        <v>8</v>
      </c>
      <c r="G45" s="111"/>
      <c r="H45" s="112"/>
      <c r="I45" s="120">
        <f>'Rider Rates'!$B$85</f>
        <v>1.9512100000000001E-2</v>
      </c>
      <c r="J45" s="120">
        <f>SUM(H45:I45)</f>
        <v>1.9512100000000001E-2</v>
      </c>
      <c r="K45" s="104"/>
      <c r="L45" s="105"/>
      <c r="M45" s="105"/>
      <c r="N45" s="105">
        <f>ROUND(N$30*I45,2)</f>
        <v>0.18</v>
      </c>
      <c r="O45" s="209">
        <f t="shared" si="0"/>
        <v>0.18</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18.72</v>
      </c>
      <c r="J47" s="196">
        <f>SUM(G47:I47)</f>
        <v>18.72</v>
      </c>
      <c r="K47" s="104"/>
      <c r="L47" s="105"/>
      <c r="M47" s="105"/>
      <c r="N47" s="105">
        <f>I47</f>
        <v>18.72</v>
      </c>
      <c r="O47" s="105">
        <f>SUM(L47:N47)</f>
        <v>18.72</v>
      </c>
      <c r="P47" s="245">
        <f>'Rider Rates'!$D$91</f>
        <v>45747</v>
      </c>
    </row>
    <row r="48" spans="1:221" x14ac:dyDescent="0.2">
      <c r="A48" s="99" t="s">
        <v>156</v>
      </c>
      <c r="B48" s="78"/>
      <c r="C48" s="78"/>
      <c r="D48" s="208">
        <f>$N$30</f>
        <v>9.4</v>
      </c>
      <c r="E48" s="101" t="s">
        <v>122</v>
      </c>
      <c r="F48" s="102" t="s">
        <v>8</v>
      </c>
      <c r="G48" s="114"/>
      <c r="H48" s="115"/>
      <c r="I48" s="120">
        <f>'Rider Rates'!$B$105</f>
        <v>0.24140039999999999</v>
      </c>
      <c r="J48" s="120">
        <f>SUM(H48:I48)</f>
        <v>0.24140039999999999</v>
      </c>
      <c r="K48" s="104"/>
      <c r="L48" s="105"/>
      <c r="M48" s="105"/>
      <c r="N48" s="105">
        <f>ROUND(N$30*I48,2)</f>
        <v>2.27</v>
      </c>
      <c r="O48" s="105">
        <f t="shared" si="0"/>
        <v>2.27</v>
      </c>
      <c r="P48" s="245">
        <f>'Rider Rates'!$D$105</f>
        <v>45716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2.9050000000000001E-4</v>
      </c>
      <c r="J51" s="265">
        <f t="shared" si="1"/>
        <v>2.9050000000000001E-4</v>
      </c>
      <c r="K51" s="104" t="s">
        <v>42</v>
      </c>
      <c r="L51" s="266"/>
      <c r="M51" s="266"/>
      <c r="N51" s="266">
        <f>IF(D51*J51&gt;'Rider Rates'!$C$125,'Rider Rates'!$C$125,D51*J51)</f>
        <v>0</v>
      </c>
      <c r="O51" s="266">
        <f t="shared" si="2"/>
        <v>0</v>
      </c>
      <c r="P51" s="264">
        <f>'Rider Rates'!$E$125</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26.639999999999997</v>
      </c>
      <c r="O56" s="169">
        <f t="shared" si="3"/>
        <v>26.639999999999997</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36.04</v>
      </c>
      <c r="O58" s="98">
        <f>O30+O56</f>
        <v>36.04</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36.04</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36.04</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sheetData>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topLeftCell="A15" zoomScale="80" zoomScaleNormal="80" workbookViewId="0">
      <selection activeCell="D42" sqref="D4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289</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282">
        <f ca="1">TODAY()</f>
        <v>45806</v>
      </c>
      <c r="B6" s="99" t="s">
        <v>291</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6</v>
      </c>
      <c r="C10" s="194" t="str">
        <f>LOOKUP(B10,R10:AD10,R11:AD11)</f>
        <v>June</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 OAD'!C20,'Customer Info'!$B$19*'GS PRI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8" t="s">
        <v>15</v>
      </c>
      <c r="E21" s="508"/>
      <c r="F21" s="508"/>
      <c r="G21" s="508"/>
      <c r="H21" s="508"/>
      <c r="K21" s="31"/>
      <c r="L21" s="31"/>
      <c r="M21" s="31"/>
      <c r="N21" s="31"/>
      <c r="O21" s="50"/>
    </row>
    <row r="22" spans="1:30" x14ac:dyDescent="0.2">
      <c r="A22" s="31" t="s">
        <v>15</v>
      </c>
      <c r="B22" s="31"/>
      <c r="C22" s="82" t="s">
        <v>15</v>
      </c>
      <c r="D22" s="508" t="s">
        <v>15</v>
      </c>
      <c r="E22" s="508"/>
      <c r="F22" s="508"/>
      <c r="G22" s="508"/>
      <c r="H22" s="50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0" t="s">
        <v>68</v>
      </c>
      <c r="H24" s="491"/>
      <c r="I24" s="491"/>
      <c r="J24" s="492"/>
      <c r="K24" s="22"/>
      <c r="L24" s="493" t="s">
        <v>69</v>
      </c>
      <c r="M24" s="493"/>
      <c r="N24" s="493"/>
      <c r="O24" s="493"/>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45658</v>
      </c>
    </row>
    <row r="41" spans="1:221" x14ac:dyDescent="0.2">
      <c r="A41" s="210" t="s">
        <v>189</v>
      </c>
      <c r="B41" s="78"/>
      <c r="C41" s="78"/>
      <c r="D41" s="1">
        <f>IF($C$16&lt;0,0,$C$16)</f>
        <v>0</v>
      </c>
      <c r="E41" s="113" t="s">
        <v>41</v>
      </c>
      <c r="F41" s="102" t="s">
        <v>8</v>
      </c>
      <c r="G41" s="103"/>
      <c r="H41" s="103">
        <f>'Rider Rates'!B58</f>
        <v>4.4210000000000001E-4</v>
      </c>
      <c r="I41" s="103"/>
      <c r="J41" s="103">
        <f>SUM(G41:I41)</f>
        <v>4.4210000000000001E-4</v>
      </c>
      <c r="K41" s="104" t="s">
        <v>42</v>
      </c>
      <c r="L41" s="105"/>
      <c r="M41" s="105">
        <f>ROUND(D41*H41,2)</f>
        <v>0</v>
      </c>
      <c r="N41" s="205"/>
      <c r="O41" s="105">
        <f t="shared" si="0"/>
        <v>0</v>
      </c>
      <c r="P41" s="245">
        <f>'Rider Rates'!$D$57</f>
        <v>45747</v>
      </c>
    </row>
    <row r="42" spans="1:221" x14ac:dyDescent="0.2">
      <c r="A42" s="210" t="s">
        <v>189</v>
      </c>
      <c r="B42" s="78"/>
      <c r="C42" s="78"/>
      <c r="D42" s="49">
        <f>ROUND(MAX(D14,('Customer Info'!B14-100)*0.6,('Customer Info'!B16-100)*0.6),1)</f>
        <v>0</v>
      </c>
      <c r="E42" s="35" t="s">
        <v>64</v>
      </c>
      <c r="F42" s="4" t="s">
        <v>8</v>
      </c>
      <c r="G42" s="103"/>
      <c r="H42" s="239">
        <f>'Rider Rates'!B63</f>
        <v>8.59</v>
      </c>
      <c r="I42" s="103"/>
      <c r="J42" s="239">
        <f>SUM(G42:I42)</f>
        <v>8.59</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138.5</v>
      </c>
      <c r="E45" s="101" t="s">
        <v>122</v>
      </c>
      <c r="F45" s="102" t="s">
        <v>8</v>
      </c>
      <c r="G45" s="111"/>
      <c r="H45" s="112"/>
      <c r="I45" s="120">
        <f>'Rider Rates'!$B$85</f>
        <v>1.9512100000000001E-2</v>
      </c>
      <c r="J45" s="120">
        <f>SUM(H45:I45)</f>
        <v>1.9512100000000001E-2</v>
      </c>
      <c r="K45" s="104"/>
      <c r="L45" s="105"/>
      <c r="M45" s="105"/>
      <c r="N45" s="105">
        <f>ROUND(N$30*I45,2)</f>
        <v>2.7</v>
      </c>
      <c r="O45" s="209">
        <f t="shared" si="0"/>
        <v>2.7</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18.72</v>
      </c>
      <c r="J47" s="196">
        <f>SUM(G47:I47)</f>
        <v>18.72</v>
      </c>
      <c r="K47" s="104"/>
      <c r="L47" s="105"/>
      <c r="M47" s="105"/>
      <c r="N47" s="105">
        <f>I47</f>
        <v>18.72</v>
      </c>
      <c r="O47" s="105">
        <f>SUM(L47:N47)</f>
        <v>18.72</v>
      </c>
      <c r="P47" s="245">
        <f>'Rider Rates'!$D$91</f>
        <v>45747</v>
      </c>
    </row>
    <row r="48" spans="1:221" x14ac:dyDescent="0.2">
      <c r="A48" s="99" t="s">
        <v>156</v>
      </c>
      <c r="B48" s="78"/>
      <c r="C48" s="78"/>
      <c r="D48" s="208">
        <f>$N$30</f>
        <v>138.5</v>
      </c>
      <c r="E48" s="101" t="s">
        <v>122</v>
      </c>
      <c r="F48" s="102" t="s">
        <v>8</v>
      </c>
      <c r="G48" s="114"/>
      <c r="H48" s="115"/>
      <c r="I48" s="120">
        <f>'Rider Rates'!$B$105</f>
        <v>0.24140039999999999</v>
      </c>
      <c r="J48" s="120">
        <f>SUM(H48:I48)</f>
        <v>0.24140039999999999</v>
      </c>
      <c r="K48" s="104"/>
      <c r="L48" s="105"/>
      <c r="M48" s="105"/>
      <c r="N48" s="105">
        <f>ROUND(N$30*I48,2)</f>
        <v>33.43</v>
      </c>
      <c r="O48" s="105">
        <f t="shared" si="0"/>
        <v>33.43</v>
      </c>
      <c r="P48" s="245">
        <f>'Rider Rates'!$D$105</f>
        <v>45716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2.9050000000000001E-4</v>
      </c>
      <c r="J51" s="265">
        <f t="shared" si="1"/>
        <v>2.9050000000000001E-4</v>
      </c>
      <c r="K51" s="104" t="s">
        <v>42</v>
      </c>
      <c r="L51" s="266"/>
      <c r="M51" s="266"/>
      <c r="N51" s="266">
        <f>IF(D51*J51&gt;'Rider Rates'!$C$125,'Rider Rates'!$C$125,D51*J51)</f>
        <v>0</v>
      </c>
      <c r="O51" s="266">
        <f t="shared" si="2"/>
        <v>0</v>
      </c>
      <c r="P51" s="264">
        <f>'Rider Rates'!$E$125</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68.97</v>
      </c>
      <c r="O56" s="169">
        <f t="shared" si="3"/>
        <v>68.97</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207.47</v>
      </c>
      <c r="O58" s="98">
        <f>O30+O56</f>
        <v>207.47</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207.47</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207.47</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sheetData>
  <sheetProtection algorithmName="SHA-512" hashValue="R2Ax2vE3aksLALaijb/EJh5Ymx01mSj1lPFxnYGcMqUK7Z+UvFRmxdQyvRUmYzo1AwE9lNRHnnAMWm1I9Pgqwg==" saltValue="71jxqA/nCl12/22aj0jUC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topLeftCell="A17" zoomScale="80" zoomScaleNormal="80" workbookViewId="0">
      <selection activeCell="D42" sqref="D4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5" t="s">
        <v>120</v>
      </c>
      <c r="B1" s="495"/>
      <c r="C1" s="495"/>
      <c r="D1" s="495"/>
      <c r="E1" s="495"/>
      <c r="F1" s="495"/>
      <c r="G1" s="495"/>
      <c r="H1" s="495"/>
      <c r="I1" s="495"/>
      <c r="J1" s="495"/>
      <c r="K1" s="495"/>
      <c r="L1" s="495"/>
      <c r="M1" s="495"/>
      <c r="N1" s="495"/>
      <c r="O1" s="495"/>
      <c r="P1" s="495"/>
    </row>
    <row r="2" spans="1:256" ht="20.25" x14ac:dyDescent="0.3">
      <c r="A2" s="480" t="s">
        <v>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96" t="s">
        <v>270</v>
      </c>
      <c r="B3" s="496"/>
      <c r="C3" s="496"/>
      <c r="D3" s="496"/>
      <c r="E3" s="496"/>
      <c r="F3" s="496"/>
      <c r="G3" s="496"/>
      <c r="H3" s="496"/>
      <c r="I3" s="496"/>
      <c r="J3" s="496"/>
      <c r="K3" s="496"/>
      <c r="L3" s="496"/>
      <c r="M3" s="496"/>
      <c r="N3" s="496"/>
      <c r="O3" s="496"/>
      <c r="P3" s="496"/>
    </row>
    <row r="4" spans="1:256"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 x14ac:dyDescent="0.2">
      <c r="A5" s="75"/>
      <c r="B5" s="75"/>
      <c r="C5" s="75"/>
      <c r="D5" s="75"/>
      <c r="E5" s="75"/>
      <c r="F5" s="75"/>
      <c r="G5" s="75"/>
      <c r="H5" s="75"/>
      <c r="I5" s="75"/>
      <c r="J5" s="75"/>
      <c r="K5" s="75"/>
    </row>
    <row r="6" spans="1:256" x14ac:dyDescent="0.2">
      <c r="A6" s="76">
        <f ca="1">TODAY()</f>
        <v>45806</v>
      </c>
      <c r="B6" s="99" t="s">
        <v>292</v>
      </c>
      <c r="C6" s="274"/>
      <c r="D6" s="274"/>
      <c r="E6" s="274"/>
      <c r="F6" s="274"/>
      <c r="G6" s="274"/>
      <c r="H6" s="274"/>
      <c r="I6" s="274"/>
      <c r="J6" s="274"/>
      <c r="K6" s="274"/>
    </row>
    <row r="7" spans="1:256" ht="26.25" x14ac:dyDescent="0.4">
      <c r="A7" s="506"/>
      <c r="B7" s="506"/>
      <c r="C7" s="506"/>
      <c r="D7" s="506"/>
      <c r="E7" s="506"/>
      <c r="F7" s="506"/>
      <c r="G7" s="506"/>
      <c r="H7" s="506"/>
      <c r="I7" s="506"/>
      <c r="J7" s="506"/>
      <c r="K7" s="506"/>
      <c r="L7" s="506"/>
      <c r="M7" s="506"/>
      <c r="N7" s="506"/>
      <c r="O7" s="506"/>
      <c r="P7" s="50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6</v>
      </c>
      <c r="C10" s="194" t="str">
        <f>LOOKUP(B10,R10:AD10,R11:AD11)</f>
        <v>June</v>
      </c>
      <c r="D10" s="133">
        <f>'Customer Info'!C9</f>
        <v>2025</v>
      </c>
      <c r="S10">
        <v>1</v>
      </c>
      <c r="T10">
        <v>2</v>
      </c>
      <c r="U10">
        <v>3</v>
      </c>
      <c r="V10">
        <v>4</v>
      </c>
      <c r="W10">
        <v>5</v>
      </c>
      <c r="X10">
        <v>6</v>
      </c>
      <c r="Y10">
        <v>7</v>
      </c>
      <c r="Z10">
        <v>8</v>
      </c>
      <c r="AA10">
        <v>9</v>
      </c>
      <c r="AB10">
        <v>10</v>
      </c>
      <c r="AC10">
        <v>11</v>
      </c>
      <c r="AD10">
        <v>12</v>
      </c>
    </row>
    <row r="11" spans="1:256" ht="15" customHeight="1" x14ac:dyDescent="0.2">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8" t="s">
        <v>15</v>
      </c>
      <c r="E20" s="508"/>
      <c r="F20" s="508"/>
      <c r="G20" s="508"/>
      <c r="H20" s="508"/>
      <c r="K20" s="31"/>
      <c r="L20" s="31"/>
      <c r="M20" s="31"/>
      <c r="N20" s="31"/>
      <c r="O20" s="50"/>
    </row>
    <row r="21" spans="1:30" x14ac:dyDescent="0.2">
      <c r="A21" s="31" t="s">
        <v>15</v>
      </c>
      <c r="B21" s="31"/>
      <c r="C21" s="82" t="s">
        <v>15</v>
      </c>
      <c r="D21" s="508" t="s">
        <v>15</v>
      </c>
      <c r="E21" s="508"/>
      <c r="F21" s="508"/>
      <c r="G21" s="508"/>
      <c r="H21" s="508"/>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0" t="s">
        <v>68</v>
      </c>
      <c r="H23" s="491"/>
      <c r="I23" s="491"/>
      <c r="J23" s="492"/>
      <c r="K23" s="22"/>
      <c r="L23" s="493" t="s">
        <v>69</v>
      </c>
      <c r="M23" s="493"/>
      <c r="N23" s="493"/>
      <c r="O23" s="493"/>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1"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
      <c r="A39" s="241" t="s">
        <v>210</v>
      </c>
      <c r="B39" s="78"/>
      <c r="C39" s="78"/>
      <c r="D39" s="1">
        <f>IF($C$16&lt;0,0,IF($C$16&gt;833000,833000,$C$16))</f>
        <v>0</v>
      </c>
      <c r="E39" s="101" t="s">
        <v>41</v>
      </c>
      <c r="F39" s="102" t="s">
        <v>8</v>
      </c>
      <c r="G39" s="103"/>
      <c r="H39" s="103"/>
      <c r="I39" s="103">
        <f>'Rider Rates'!D49</f>
        <v>1.8006999999999999E-3</v>
      </c>
      <c r="J39" s="103">
        <f>SUM(G39:I39)</f>
        <v>1.8006999999999999E-3</v>
      </c>
      <c r="K39" s="104" t="s">
        <v>42</v>
      </c>
      <c r="L39" s="105"/>
      <c r="M39" s="105"/>
      <c r="N39" s="87">
        <f>D39*J39</f>
        <v>0</v>
      </c>
      <c r="O39" s="105">
        <f t="shared" si="0"/>
        <v>0</v>
      </c>
      <c r="P39" s="245">
        <f>'Rider Rates'!E49</f>
        <v>45658</v>
      </c>
    </row>
    <row r="40" spans="1:221" x14ac:dyDescent="0.2">
      <c r="A40" s="210" t="s">
        <v>189</v>
      </c>
      <c r="B40" s="78"/>
      <c r="C40" s="78"/>
      <c r="D40" s="1">
        <f>IF($C$16&lt;0,0,$C$16)</f>
        <v>0</v>
      </c>
      <c r="E40" s="113" t="s">
        <v>41</v>
      </c>
      <c r="F40" s="102" t="s">
        <v>8</v>
      </c>
      <c r="G40" s="103"/>
      <c r="H40" s="103">
        <f>'Rider Rates'!$B$59</f>
        <v>4.3409999999999998E-4</v>
      </c>
      <c r="I40" s="103"/>
      <c r="J40" s="103">
        <f>SUM(G40:I40)</f>
        <v>4.3409999999999998E-4</v>
      </c>
      <c r="K40" s="104" t="s">
        <v>42</v>
      </c>
      <c r="L40" s="105"/>
      <c r="M40" s="105">
        <f>ROUND(D40*H40,2)</f>
        <v>0</v>
      </c>
      <c r="N40" s="205"/>
      <c r="O40" s="105">
        <f t="shared" si="0"/>
        <v>0</v>
      </c>
      <c r="P40" s="245">
        <f>'Rider Rates'!$D$59</f>
        <v>45747</v>
      </c>
    </row>
    <row r="41" spans="1:221" x14ac:dyDescent="0.2">
      <c r="A41" s="210" t="s">
        <v>189</v>
      </c>
      <c r="B41" s="78"/>
      <c r="C41" s="78"/>
      <c r="D41" s="49">
        <f>ROUND(MAX(D14,('Customer Info'!B14-100)*0.6,('Customer Info'!B16-100)*0.6),1)</f>
        <v>0</v>
      </c>
      <c r="E41" s="35" t="s">
        <v>64</v>
      </c>
      <c r="F41" s="4" t="s">
        <v>8</v>
      </c>
      <c r="G41" s="103"/>
      <c r="H41" s="239">
        <f>'Rider Rates'!$B$64</f>
        <v>7.72</v>
      </c>
      <c r="I41" s="103"/>
      <c r="J41" s="239">
        <f>SUM(G41:I41)</f>
        <v>7.72</v>
      </c>
      <c r="K41" s="104" t="s">
        <v>44</v>
      </c>
      <c r="L41" s="105"/>
      <c r="M41" s="105">
        <f>ROUND(D41*H41,2)</f>
        <v>0</v>
      </c>
      <c r="N41" s="205"/>
      <c r="O41" s="105">
        <f t="shared" si="0"/>
        <v>0</v>
      </c>
      <c r="P41" s="245">
        <f>'Rider Rates'!$D$64</f>
        <v>45747</v>
      </c>
    </row>
    <row r="42" spans="1:221" x14ac:dyDescent="0.2">
      <c r="A42" s="99" t="s">
        <v>83</v>
      </c>
      <c r="B42" s="78"/>
      <c r="C42" s="78"/>
      <c r="D42" s="1">
        <f>IF('Customer Info'!C34=TRUE,0,IF($C$16&lt;0,0,$C$16))</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ref="O42:O47" si="1">SUM(L42:N42)</f>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81</v>
      </c>
      <c r="B44" s="78"/>
      <c r="C44" s="78"/>
      <c r="D44" s="208">
        <f>$N$29</f>
        <v>825</v>
      </c>
      <c r="E44" s="101" t="s">
        <v>122</v>
      </c>
      <c r="F44" s="102" t="s">
        <v>8</v>
      </c>
      <c r="G44" s="111"/>
      <c r="H44" s="112"/>
      <c r="I44" s="120">
        <f>'Rider Rates'!$B$85</f>
        <v>1.9512100000000001E-2</v>
      </c>
      <c r="J44" s="120">
        <f>SUM(H44:I44)</f>
        <v>1.9512100000000001E-2</v>
      </c>
      <c r="K44" s="104"/>
      <c r="L44" s="105"/>
      <c r="M44" s="105"/>
      <c r="N44" s="105">
        <f>ROUND(N$29*I44,2)</f>
        <v>16.100000000000001</v>
      </c>
      <c r="O44" s="209">
        <f t="shared" si="1"/>
        <v>16.100000000000001</v>
      </c>
      <c r="P44" s="245">
        <f>'Rider Rates'!$D$85</f>
        <v>45747</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1"/>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206</v>
      </c>
      <c r="B46" s="78"/>
      <c r="C46" s="78"/>
      <c r="D46" s="195"/>
      <c r="E46" s="113" t="s">
        <v>115</v>
      </c>
      <c r="F46" s="106"/>
      <c r="G46" s="114"/>
      <c r="H46" s="115"/>
      <c r="I46" s="196">
        <f>'Rider Rates'!$B$91</f>
        <v>18.72</v>
      </c>
      <c r="J46" s="196">
        <f>SUM(G46:I46)</f>
        <v>18.72</v>
      </c>
      <c r="K46" s="104"/>
      <c r="L46" s="105"/>
      <c r="M46" s="105"/>
      <c r="N46" s="105">
        <f>I46</f>
        <v>18.72</v>
      </c>
      <c r="O46" s="105">
        <f>SUM(L46:N46)</f>
        <v>18.72</v>
      </c>
      <c r="P46" s="245">
        <f>'Rider Rates'!$D$91</f>
        <v>45747</v>
      </c>
    </row>
    <row r="47" spans="1:221" x14ac:dyDescent="0.2">
      <c r="A47" s="99" t="s">
        <v>156</v>
      </c>
      <c r="B47" s="78"/>
      <c r="C47" s="78"/>
      <c r="D47" s="208">
        <f>$N$29</f>
        <v>825</v>
      </c>
      <c r="E47" s="101" t="s">
        <v>122</v>
      </c>
      <c r="F47" s="102" t="s">
        <v>8</v>
      </c>
      <c r="G47" s="114"/>
      <c r="H47" s="115"/>
      <c r="I47" s="120">
        <f>'Rider Rates'!$B$105</f>
        <v>0.24140039999999999</v>
      </c>
      <c r="J47" s="120">
        <f>SUM(H47:I47)</f>
        <v>0.24140039999999999</v>
      </c>
      <c r="K47" s="104"/>
      <c r="L47" s="105"/>
      <c r="M47" s="105"/>
      <c r="N47" s="105">
        <f>ROUND(N$29*I47,2)</f>
        <v>199.16</v>
      </c>
      <c r="O47" s="105">
        <f t="shared" si="1"/>
        <v>199.16</v>
      </c>
      <c r="P47" s="245">
        <f>'Rider Rates'!$D$105</f>
        <v>45716</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115</v>
      </c>
      <c r="F48" s="106"/>
      <c r="G48" s="114"/>
      <c r="H48" s="115"/>
      <c r="I48" s="258">
        <f>'Rider Rates'!B121</f>
        <v>4.84</v>
      </c>
      <c r="J48" s="196">
        <f t="shared" ref="J48:J53" si="2">SUM(G48:I48)</f>
        <v>4.84</v>
      </c>
      <c r="K48" s="104"/>
      <c r="L48" s="105"/>
      <c r="M48" s="105"/>
      <c r="N48" s="260">
        <f>I48</f>
        <v>4.84</v>
      </c>
      <c r="O48" s="105">
        <f t="shared" ref="O48:O51" si="3">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 t="shared" si="2"/>
        <v>0</v>
      </c>
      <c r="K49" s="104" t="s">
        <v>42</v>
      </c>
      <c r="L49" s="105"/>
      <c r="M49" s="105"/>
      <c r="N49" s="105">
        <f>D49*I49</f>
        <v>0</v>
      </c>
      <c r="O49" s="105">
        <f t="shared" si="3"/>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2.9050000000000001E-4</v>
      </c>
      <c r="J50" s="265">
        <f t="shared" si="2"/>
        <v>2.9050000000000001E-4</v>
      </c>
      <c r="K50" s="104" t="s">
        <v>42</v>
      </c>
      <c r="L50" s="266"/>
      <c r="M50" s="266"/>
      <c r="N50" s="266">
        <f>IF(D50*J50&gt;'Rider Rates'!$C$125,'Rider Rates'!$C$125,D50*J50)</f>
        <v>0</v>
      </c>
      <c r="O50" s="266">
        <f t="shared" si="3"/>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 t="shared" si="2"/>
        <v>0</v>
      </c>
      <c r="K51" s="104" t="s">
        <v>42</v>
      </c>
      <c r="L51" s="266"/>
      <c r="M51" s="266"/>
      <c r="N51" s="266">
        <f>D51*J51</f>
        <v>0</v>
      </c>
      <c r="O51" s="266">
        <f t="shared" si="3"/>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 t="shared" si="2"/>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 t="shared" si="2"/>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SUM(L33:L54)</f>
        <v>0</v>
      </c>
      <c r="M55" s="169">
        <f t="shared" ref="M55:O55" si="4">SUM(M33:M54)</f>
        <v>0</v>
      </c>
      <c r="N55" s="169">
        <f t="shared" si="4"/>
        <v>294.08</v>
      </c>
      <c r="O55" s="169">
        <f t="shared" si="4"/>
        <v>294.08</v>
      </c>
      <c r="P55" s="184"/>
    </row>
    <row r="56" spans="1:221" x14ac:dyDescent="0.2">
      <c r="A56" s="37"/>
      <c r="D56" s="1"/>
      <c r="E56" s="35"/>
      <c r="F56" s="4"/>
      <c r="G56" s="42"/>
      <c r="H56" s="42"/>
      <c r="I56" s="42"/>
      <c r="J56" s="42"/>
      <c r="K56" s="36"/>
      <c r="L56" s="36"/>
      <c r="M56" s="36"/>
      <c r="N56" s="36"/>
      <c r="O56" s="34"/>
      <c r="P56" s="36"/>
    </row>
    <row r="57" spans="1:221" x14ac:dyDescent="0.2">
      <c r="A57" s="81" t="s">
        <v>72</v>
      </c>
      <c r="B57" s="92"/>
      <c r="C57" s="92"/>
      <c r="D57" s="92"/>
      <c r="E57" s="92"/>
      <c r="F57" s="92"/>
      <c r="G57" s="92"/>
      <c r="H57" s="92"/>
      <c r="I57" s="92"/>
      <c r="J57" s="92"/>
      <c r="K57" s="92"/>
      <c r="L57" s="98">
        <f>L29+L55</f>
        <v>0</v>
      </c>
      <c r="M57" s="98">
        <f>M29+M55</f>
        <v>0</v>
      </c>
      <c r="N57" s="98">
        <f>N29+N55</f>
        <v>1119.08</v>
      </c>
      <c r="O57" s="98">
        <f>O29+O55</f>
        <v>1119.08</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O25+O27+O55</f>
        <v>1119.08</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1119.08</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8"/>
    </row>
    <row r="74" spans="1:16" x14ac:dyDescent="0.2">
      <c r="A74" s="478"/>
    </row>
    <row r="75" spans="1:16" x14ac:dyDescent="0.2">
      <c r="A75" s="478"/>
    </row>
    <row r="76" spans="1:16" x14ac:dyDescent="0.2">
      <c r="A76" s="478"/>
    </row>
    <row r="77" spans="1:16" x14ac:dyDescent="0.2">
      <c r="A77" s="478"/>
    </row>
    <row r="78" spans="1:16" x14ac:dyDescent="0.2">
      <c r="A78" s="478"/>
    </row>
    <row r="79" spans="1:16" x14ac:dyDescent="0.2">
      <c r="A79" s="478"/>
    </row>
    <row r="80" spans="1:1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sheetData>
  <sheetProtection algorithmName="SHA-512" hashValue="ZM93+sI3hOWbZ1Vr8UvvtslEVH9txy8okYUeyYRaPJMZZ2NSL5vw2uBzN81T/y31k8I2RIuIEaDhvH83Db52wg==" saltValue="POhl3yBg2Loibk6EQCCn5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5"/>
  <sheetViews>
    <sheetView topLeftCell="A22"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323</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45806</v>
      </c>
      <c r="B6" s="384" t="s">
        <v>324</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6</v>
      </c>
      <c r="C11" s="340" t="str">
        <f>LOOKUP(B11,R11:AD11,R12:AD12)</f>
        <v>June</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Rates'!B143</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45747</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1.8006999999999999E-3</v>
      </c>
      <c r="J38" s="386">
        <f>SUM(G38:I38)</f>
        <v>1.8006999999999999E-3</v>
      </c>
      <c r="K38" s="364" t="s">
        <v>42</v>
      </c>
      <c r="L38" s="250"/>
      <c r="M38" s="250"/>
      <c r="N38" s="250">
        <f>D38*J38</f>
        <v>0</v>
      </c>
      <c r="O38" s="250">
        <f t="shared" si="2"/>
        <v>0</v>
      </c>
      <c r="P38" s="358">
        <f>'Rider Rates'!E49</f>
        <v>45658</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1.9512100000000001E-2</v>
      </c>
      <c r="J42" s="398">
        <f t="shared" si="0"/>
        <v>1.9512100000000001E-2</v>
      </c>
      <c r="K42" s="364"/>
      <c r="L42" s="250"/>
      <c r="M42" s="250"/>
      <c r="N42" s="250">
        <f>ROUND(D42*I42,2)</f>
        <v>0.18</v>
      </c>
      <c r="O42" s="250">
        <f t="shared" si="2"/>
        <v>0.18</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18.72</v>
      </c>
      <c r="J44" s="400">
        <f t="shared" si="0"/>
        <v>18.72</v>
      </c>
      <c r="K44" s="364"/>
      <c r="L44" s="250"/>
      <c r="M44" s="250"/>
      <c r="N44" s="250">
        <f>I44</f>
        <v>18.72</v>
      </c>
      <c r="O44" s="250">
        <f t="shared" si="2"/>
        <v>18.72</v>
      </c>
      <c r="P44" s="358">
        <f>'Rider Rates'!$D$91</f>
        <v>45747</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0.24140039999999999</v>
      </c>
      <c r="J46" s="398">
        <f t="shared" si="0"/>
        <v>0.24140039999999999</v>
      </c>
      <c r="K46" s="364"/>
      <c r="L46" s="250"/>
      <c r="M46" s="250"/>
      <c r="N46" s="250">
        <f>ROUND(D46*I46,2)</f>
        <v>2.27</v>
      </c>
      <c r="O46" s="250">
        <f t="shared" si="2"/>
        <v>2.27</v>
      </c>
      <c r="P46" s="358">
        <f>'Rider Rates'!$D$105</f>
        <v>45716</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26.639999999999997</v>
      </c>
      <c r="O55" s="412">
        <f t="shared" si="3"/>
        <v>26.639999999999997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36.04</v>
      </c>
      <c r="O57" s="417">
        <f>O23+O55</f>
        <v>36.04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36.04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36.04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topLeftCell="A31" zoomScale="80" zoomScaleNormal="80" workbookViewId="0">
      <selection activeCell="A51" sqref="A51:XFD5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0" t="s">
        <v>120</v>
      </c>
      <c r="B1" s="480"/>
      <c r="C1" s="480"/>
      <c r="D1" s="480"/>
      <c r="E1" s="480"/>
      <c r="F1" s="480"/>
      <c r="G1" s="480"/>
      <c r="H1" s="480"/>
      <c r="I1" s="480"/>
      <c r="J1" s="480"/>
      <c r="K1" s="480"/>
      <c r="L1" s="480"/>
      <c r="M1" s="480"/>
      <c r="N1" s="480"/>
      <c r="O1" s="480"/>
      <c r="P1" s="480"/>
      <c r="Q1" s="197"/>
    </row>
    <row r="2" spans="1:59" ht="18" customHeight="1" x14ac:dyDescent="0.2">
      <c r="A2" s="489" t="s">
        <v>116</v>
      </c>
      <c r="B2" s="489"/>
      <c r="C2" s="489"/>
      <c r="D2" s="489"/>
      <c r="E2" s="489"/>
      <c r="F2" s="489"/>
      <c r="G2" s="489"/>
      <c r="H2" s="489"/>
      <c r="I2" s="489"/>
      <c r="J2" s="489"/>
      <c r="K2" s="489"/>
      <c r="L2" s="489"/>
      <c r="M2" s="489"/>
      <c r="N2" s="489"/>
      <c r="O2" s="489"/>
      <c r="P2" s="489"/>
    </row>
    <row r="3" spans="1:59" ht="18" x14ac:dyDescent="0.25">
      <c r="A3" s="489"/>
      <c r="B3" s="489"/>
      <c r="C3" s="489"/>
      <c r="D3" s="489"/>
      <c r="E3" s="489"/>
      <c r="F3" s="489"/>
      <c r="G3" s="489"/>
      <c r="H3" s="489"/>
      <c r="I3" s="489"/>
      <c r="J3" s="489"/>
      <c r="K3" s="489"/>
      <c r="L3" s="489"/>
      <c r="M3" s="489"/>
      <c r="N3" s="489"/>
      <c r="O3" s="489"/>
      <c r="P3" s="489"/>
      <c r="Q3" s="198"/>
    </row>
    <row r="4" spans="1:59"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45806</v>
      </c>
      <c r="B6" s="488" t="s">
        <v>235</v>
      </c>
      <c r="C6" s="488"/>
      <c r="D6" s="488"/>
      <c r="E6" s="488"/>
      <c r="F6" s="488"/>
      <c r="G6" s="488"/>
      <c r="H6" s="488"/>
      <c r="I6" s="488"/>
      <c r="J6" s="488"/>
      <c r="K6" s="488"/>
      <c r="L6" s="488"/>
      <c r="M6" s="488"/>
      <c r="N6" s="488"/>
      <c r="O6" s="488"/>
    </row>
    <row r="7" spans="1:59" x14ac:dyDescent="0.2">
      <c r="A7" s="479" t="s">
        <v>15</v>
      </c>
      <c r="B7" s="479"/>
      <c r="C7" s="479"/>
      <c r="D7" s="479"/>
      <c r="E7" s="479"/>
      <c r="F7" s="479"/>
      <c r="G7" s="479"/>
      <c r="H7" s="479"/>
      <c r="I7" s="479"/>
      <c r="J7" s="479"/>
      <c r="K7" s="479"/>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6</v>
      </c>
      <c r="C11" s="194" t="str">
        <f>LOOKUP($B$11,$S$11:$AD$11,S12:AD12)</f>
        <v>June</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50" si="0">SUM(G31:I31)</f>
        <v>4.6278999999999999E-3</v>
      </c>
      <c r="K31" s="104" t="s">
        <v>42</v>
      </c>
      <c r="L31" s="105"/>
      <c r="M31" s="105"/>
      <c r="N31" s="105">
        <f t="shared" ref="N31:N37" si="1">ROUND(D31*I31,2)</f>
        <v>0</v>
      </c>
      <c r="O31" s="250">
        <f t="shared" ref="O31:O53"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Info'!$B$22-'Customer Info'!$B$23</f>
        <v>0</v>
      </c>
      <c r="E39" s="101" t="s">
        <v>41</v>
      </c>
      <c r="F39" s="102" t="s">
        <v>8</v>
      </c>
      <c r="G39" s="103">
        <f>'Rider Rates'!$B$21</f>
        <v>7.6880000000000004E-2</v>
      </c>
      <c r="H39" s="103"/>
      <c r="I39" s="103"/>
      <c r="J39" s="237">
        <f>SUM(G39:H39)</f>
        <v>7.6880000000000004E-2</v>
      </c>
      <c r="K39" s="104" t="s">
        <v>42</v>
      </c>
      <c r="L39" s="105">
        <f>ROUND(D39*G39,2)</f>
        <v>0</v>
      </c>
      <c r="M39" s="105"/>
      <c r="N39" s="105"/>
      <c r="O39" s="105">
        <f t="shared" si="3"/>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161</v>
      </c>
      <c r="B40" s="78"/>
      <c r="C40" s="78"/>
      <c r="D40" s="100">
        <f>'Customer Info'!$B$21+'Customer Info'!$B$22-'Customer Info'!$B$23</f>
        <v>0</v>
      </c>
      <c r="E40" s="101" t="s">
        <v>41</v>
      </c>
      <c r="F40" s="102" t="s">
        <v>8</v>
      </c>
      <c r="G40" s="103">
        <f>'Rider Rates'!$B$28</f>
        <v>2.298E-2</v>
      </c>
      <c r="H40" s="103"/>
      <c r="I40" s="103"/>
      <c r="J40" s="237">
        <f>SUM(G40:H40)</f>
        <v>2.298E-2</v>
      </c>
      <c r="K40" s="104" t="s">
        <v>42</v>
      </c>
      <c r="L40" s="239">
        <f>ROUND($D$40*$G$40,2)</f>
        <v>0</v>
      </c>
      <c r="M40" s="105"/>
      <c r="N40" s="105"/>
      <c r="O40" s="105">
        <f>SUM(L40:N40)</f>
        <v>0</v>
      </c>
      <c r="P40" s="245">
        <f>'Rider Rates'!$D$28</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193</v>
      </c>
      <c r="B41" s="78"/>
      <c r="C41" s="78"/>
      <c r="D41" s="100">
        <f>'Customer Info'!$B$21+'Customer Info'!$B$22-'Customer Info'!$B$23</f>
        <v>0</v>
      </c>
      <c r="E41" s="101" t="s">
        <v>41</v>
      </c>
      <c r="F41" s="102" t="s">
        <v>8</v>
      </c>
      <c r="G41" s="103">
        <f>'Rider Rates'!$B$45</f>
        <v>-4.1073000000000004E-3</v>
      </c>
      <c r="H41" s="103"/>
      <c r="I41" s="103"/>
      <c r="J41" s="237">
        <f>SUM(G41:H41)</f>
        <v>-4.1073000000000004E-3</v>
      </c>
      <c r="K41" s="104" t="s">
        <v>42</v>
      </c>
      <c r="L41" s="105">
        <f>ROUND(D41*G41,2)</f>
        <v>0</v>
      </c>
      <c r="M41" s="105"/>
      <c r="N41" s="105"/>
      <c r="O41" s="105">
        <f t="shared" si="3"/>
        <v>0</v>
      </c>
      <c r="P41" s="245">
        <f>'Rider Rates'!$D$45</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210</v>
      </c>
      <c r="B42" s="78"/>
      <c r="C42" s="78"/>
      <c r="D42" s="100"/>
      <c r="E42" s="101" t="s">
        <v>115</v>
      </c>
      <c r="F42" s="102"/>
      <c r="G42" s="103"/>
      <c r="H42" s="103"/>
      <c r="I42" s="103">
        <f>'Rider Rates'!D48</f>
        <v>1.17</v>
      </c>
      <c r="J42" s="237">
        <f>SUM(G42:I42)</f>
        <v>1.17</v>
      </c>
      <c r="K42" s="104"/>
      <c r="L42" s="105"/>
      <c r="M42" s="105"/>
      <c r="N42" s="105">
        <f>J42</f>
        <v>1.17</v>
      </c>
      <c r="O42" s="105">
        <f>SUM(L42:N42)</f>
        <v>1.17</v>
      </c>
      <c r="P42" s="245">
        <f>'Rider Rates'!E48</f>
        <v>45658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189</v>
      </c>
      <c r="B43" s="78"/>
      <c r="C43" s="78"/>
      <c r="D43" s="100">
        <f>IF($D$17&lt;0,0,$D$17)</f>
        <v>0</v>
      </c>
      <c r="E43" s="113" t="s">
        <v>41</v>
      </c>
      <c r="F43" s="102" t="s">
        <v>8</v>
      </c>
      <c r="G43" s="103"/>
      <c r="H43" s="103">
        <f>'Rider Rates'!$B$55</f>
        <v>3.5317099999999997E-2</v>
      </c>
      <c r="I43" s="103"/>
      <c r="J43" s="103">
        <f>SUM(G43:I43)</f>
        <v>3.5317099999999997E-2</v>
      </c>
      <c r="K43" s="104" t="s">
        <v>42</v>
      </c>
      <c r="L43" s="105"/>
      <c r="M43" s="105">
        <f>ROUND(D43*H43,2)</f>
        <v>0</v>
      </c>
      <c r="N43" s="205"/>
      <c r="O43" s="105">
        <f t="shared" si="3"/>
        <v>0</v>
      </c>
      <c r="P43" s="245">
        <f>'Rider Rates'!$D$55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337</v>
      </c>
      <c r="B44" s="78"/>
      <c r="C44" s="78"/>
      <c r="D44" s="100">
        <f>IF($D$17&lt;0,0,$D$17)</f>
        <v>0</v>
      </c>
      <c r="E44" s="101" t="s">
        <v>41</v>
      </c>
      <c r="F44" s="102" t="s">
        <v>8</v>
      </c>
      <c r="G44" s="103"/>
      <c r="H44" s="103"/>
      <c r="I44" s="103">
        <f>'Rider Rates'!$B$66</f>
        <v>7.3870000000000001E-4</v>
      </c>
      <c r="J44" s="103">
        <f t="shared" ref="J44" si="4">SUM(G44:I44)</f>
        <v>7.3870000000000001E-4</v>
      </c>
      <c r="K44" s="104" t="s">
        <v>42</v>
      </c>
      <c r="L44" s="105"/>
      <c r="M44" s="105"/>
      <c r="N44" s="105">
        <f>ROUND($D$44*'Rider Rates'!$B$66,2)</f>
        <v>0</v>
      </c>
      <c r="O44" s="250">
        <f>SUM(L44:N44)</f>
        <v>0</v>
      </c>
      <c r="P44" s="245">
        <f>'Rider Rates'!$D$66</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96</v>
      </c>
      <c r="B45" s="78"/>
      <c r="C45" s="78"/>
      <c r="D45" s="100">
        <f>IF('Customer Info'!C34=TRUE,0,IF($D$17&lt;0,0,$D$17))</f>
        <v>0</v>
      </c>
      <c r="E45" s="101" t="s">
        <v>41</v>
      </c>
      <c r="F45" s="102" t="s">
        <v>8</v>
      </c>
      <c r="G45" s="103"/>
      <c r="H45" s="103"/>
      <c r="I45" s="103">
        <f>'Rider Rates'!$B$69+'Rider Rates'!$C$69</f>
        <v>0</v>
      </c>
      <c r="J45" s="103">
        <f t="shared" si="0"/>
        <v>0</v>
      </c>
      <c r="K45" s="104" t="s">
        <v>42</v>
      </c>
      <c r="L45" s="105"/>
      <c r="M45" s="105"/>
      <c r="N45" s="105">
        <f>ROUND($D$45*'Rider Rates'!$B$69,2)+ROUND($D$45*'Rider Rates'!$C$69,2)</f>
        <v>0</v>
      </c>
      <c r="O45" s="250">
        <f t="shared" si="2"/>
        <v>0</v>
      </c>
      <c r="P45" s="245">
        <f>'Rider Rates'!$D$69</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81</v>
      </c>
      <c r="B46" s="78"/>
      <c r="C46" s="78"/>
      <c r="D46" s="195">
        <f>$N$27</f>
        <v>10</v>
      </c>
      <c r="E46" s="101" t="s">
        <v>122</v>
      </c>
      <c r="F46" s="102" t="s">
        <v>8</v>
      </c>
      <c r="G46" s="111"/>
      <c r="H46" s="112"/>
      <c r="I46" s="120">
        <f>'Rider Rates'!$B$85</f>
        <v>1.9512100000000001E-2</v>
      </c>
      <c r="J46" s="120">
        <f>SUM(G46:I46)</f>
        <v>1.9512100000000001E-2</v>
      </c>
      <c r="K46" s="104"/>
      <c r="L46" s="105"/>
      <c r="M46" s="105"/>
      <c r="N46" s="105">
        <f>ROUND(D46*I46,2)</f>
        <v>0.2</v>
      </c>
      <c r="O46" s="105">
        <f t="shared" si="2"/>
        <v>0.2</v>
      </c>
      <c r="P46" s="245">
        <f>'Rider Rates'!$D$85</f>
        <v>45747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82</v>
      </c>
      <c r="B47" s="78"/>
      <c r="C47" s="78"/>
      <c r="D47" s="195">
        <f>$N$27</f>
        <v>10</v>
      </c>
      <c r="E47" s="101" t="s">
        <v>122</v>
      </c>
      <c r="F47" s="102" t="s">
        <v>8</v>
      </c>
      <c r="G47" s="114"/>
      <c r="H47" s="115"/>
      <c r="I47" s="120">
        <f>'Rider Rates'!$B$87</f>
        <v>6.6985699999999995E-2</v>
      </c>
      <c r="J47" s="120">
        <f t="shared" si="0"/>
        <v>6.6985699999999995E-2</v>
      </c>
      <c r="K47" s="104"/>
      <c r="L47" s="105"/>
      <c r="M47" s="105"/>
      <c r="N47" s="105">
        <f>ROUND(D47*I47,2)</f>
        <v>0.67</v>
      </c>
      <c r="O47" s="105">
        <f t="shared" si="2"/>
        <v>0.67</v>
      </c>
      <c r="P47" s="245">
        <f>'Rider Rates'!$D$87</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206</v>
      </c>
      <c r="B48" s="78"/>
      <c r="C48" s="78"/>
      <c r="D48" s="195"/>
      <c r="E48" s="113" t="s">
        <v>115</v>
      </c>
      <c r="F48" s="106"/>
      <c r="G48" s="114"/>
      <c r="H48" s="115"/>
      <c r="I48" s="196">
        <f>'Rider Rates'!$B$90</f>
        <v>2.2200000000000002</v>
      </c>
      <c r="J48" s="196">
        <f>SUM(G48:I48)</f>
        <v>2.2200000000000002</v>
      </c>
      <c r="K48" s="104"/>
      <c r="L48" s="105"/>
      <c r="M48" s="105"/>
      <c r="N48" s="105">
        <f>I48</f>
        <v>2.2200000000000002</v>
      </c>
      <c r="O48" s="250">
        <f>SUM(L48:N48)</f>
        <v>2.2200000000000002</v>
      </c>
      <c r="P48" s="245">
        <f>'Rider Rates'!$D$90</f>
        <v>45747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239</v>
      </c>
      <c r="B49" s="78"/>
      <c r="C49" s="78"/>
      <c r="D49" s="100">
        <f>IF($D$17&lt;0,0,$D$17)</f>
        <v>0</v>
      </c>
      <c r="E49" s="101" t="s">
        <v>41</v>
      </c>
      <c r="F49" s="102" t="s">
        <v>8</v>
      </c>
      <c r="G49" s="103"/>
      <c r="H49" s="103"/>
      <c r="I49" s="103"/>
      <c r="J49" s="103">
        <f>'Rider Rates'!$B$94</f>
        <v>0</v>
      </c>
      <c r="K49" s="104" t="s">
        <v>42</v>
      </c>
      <c r="L49" s="105"/>
      <c r="M49" s="105"/>
      <c r="N49" s="105"/>
      <c r="O49" s="105">
        <f>ROUND($D49*('Rider Rates'!B$94),2)</f>
        <v>0</v>
      </c>
      <c r="P49" s="245">
        <f>'Rider Rates'!$D$94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$N$27</f>
        <v>10</v>
      </c>
      <c r="E50" s="101" t="s">
        <v>122</v>
      </c>
      <c r="F50" s="102" t="s">
        <v>8</v>
      </c>
      <c r="G50" s="114"/>
      <c r="H50" s="115"/>
      <c r="I50" s="120">
        <f>'Rider Rates'!$B$105</f>
        <v>0.24140039999999999</v>
      </c>
      <c r="J50" s="238">
        <f t="shared" si="0"/>
        <v>0.24140039999999999</v>
      </c>
      <c r="K50" s="104"/>
      <c r="L50" s="105"/>
      <c r="M50" s="105"/>
      <c r="N50" s="105">
        <f>ROUND(D50*I50,2)</f>
        <v>2.41</v>
      </c>
      <c r="O50" s="105">
        <f t="shared" si="2"/>
        <v>2.41</v>
      </c>
      <c r="P50" s="245">
        <f>'Rider Rates'!$D$105</f>
        <v>45716</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115</v>
      </c>
      <c r="F51" s="106"/>
      <c r="G51" s="114"/>
      <c r="H51" s="115"/>
      <c r="I51" s="258">
        <f>'Rider Rates'!B120</f>
        <v>0.97</v>
      </c>
      <c r="J51" s="259">
        <f>SUM(G51:I51)</f>
        <v>0.97</v>
      </c>
      <c r="K51" s="104"/>
      <c r="L51" s="105"/>
      <c r="M51" s="105"/>
      <c r="N51" s="260">
        <f>I51</f>
        <v>0.97</v>
      </c>
      <c r="O51" s="105">
        <f>SUM(L51:N51)</f>
        <v>0.97</v>
      </c>
      <c r="P51" s="245">
        <f>'Rider Rates'!D120</f>
        <v>45593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157</v>
      </c>
      <c r="B52" s="78"/>
      <c r="C52" s="78"/>
      <c r="D52" s="100">
        <f>'Customer Info'!$B$21+'Customer Info'!$B$22-'Customer Info'!$B$23</f>
        <v>0</v>
      </c>
      <c r="E52" s="101" t="s">
        <v>41</v>
      </c>
      <c r="F52" s="102" t="s">
        <v>8</v>
      </c>
      <c r="G52" s="103">
        <f>'Rider Rates'!$B$112</f>
        <v>3.8972999999999998E-3</v>
      </c>
      <c r="H52" s="103"/>
      <c r="I52" s="103"/>
      <c r="J52" s="237">
        <f>SUM(G52:H52)</f>
        <v>3.8972999999999998E-3</v>
      </c>
      <c r="K52" s="104" t="s">
        <v>42</v>
      </c>
      <c r="L52" s="105">
        <f>ROUND(D52*G52,2)</f>
        <v>0</v>
      </c>
      <c r="M52" s="105"/>
      <c r="N52" s="105"/>
      <c r="O52" s="105">
        <f t="shared" si="2"/>
        <v>0</v>
      </c>
      <c r="P52" s="245">
        <f>'Rider Rates'!$D$112</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208</v>
      </c>
      <c r="B53" s="78"/>
      <c r="C53" s="78"/>
      <c r="D53" s="100">
        <f>IF($D$17&lt;1,0,$D$17)</f>
        <v>0</v>
      </c>
      <c r="E53" s="101" t="s">
        <v>41</v>
      </c>
      <c r="F53" s="249" t="s">
        <v>8</v>
      </c>
      <c r="G53" s="103"/>
      <c r="H53" s="103"/>
      <c r="I53" s="103">
        <f>'Rider Rates'!$B$117</f>
        <v>0</v>
      </c>
      <c r="J53" s="237">
        <f>SUM(G53:I53)</f>
        <v>0</v>
      </c>
      <c r="K53" s="104" t="s">
        <v>42</v>
      </c>
      <c r="L53" s="105"/>
      <c r="M53" s="105"/>
      <c r="N53" s="105">
        <f>D53*J53</f>
        <v>0</v>
      </c>
      <c r="O53" s="105">
        <f t="shared" si="2"/>
        <v>0</v>
      </c>
      <c r="P53" s="245">
        <f>'Rider Rates'!D117</f>
        <v>45657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230</v>
      </c>
      <c r="B54" s="78"/>
      <c r="C54" s="78"/>
      <c r="D54" s="100"/>
      <c r="E54" s="101" t="s">
        <v>115</v>
      </c>
      <c r="F54" s="102" t="s">
        <v>8</v>
      </c>
      <c r="G54" s="263"/>
      <c r="H54" s="263"/>
      <c r="I54" s="263">
        <f>'Rider Rates'!$B$124</f>
        <v>0.1</v>
      </c>
      <c r="J54" s="263">
        <f>SUM(G54:I54)</f>
        <v>0.1</v>
      </c>
      <c r="K54" s="104"/>
      <c r="L54" s="209"/>
      <c r="M54" s="209"/>
      <c r="N54" s="209">
        <f>J54</f>
        <v>0.1</v>
      </c>
      <c r="O54" s="209">
        <f>SUM(L54:N54)</f>
        <v>0.1</v>
      </c>
      <c r="P54" s="264">
        <f>'Rider Rates'!E124</f>
        <v>45658</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242</v>
      </c>
      <c r="B55" s="78"/>
      <c r="C55" s="78"/>
      <c r="D55" s="100">
        <f>D17</f>
        <v>0</v>
      </c>
      <c r="E55" s="101" t="s">
        <v>41</v>
      </c>
      <c r="F55" s="249" t="s">
        <v>8</v>
      </c>
      <c r="G55" s="103"/>
      <c r="H55" s="103"/>
      <c r="I55" s="103">
        <f>'Rider Rates'!B129</f>
        <v>0</v>
      </c>
      <c r="J55" s="237">
        <f>SUM(G55:I55)</f>
        <v>0</v>
      </c>
      <c r="K55" s="104" t="s">
        <v>42</v>
      </c>
      <c r="L55" s="105"/>
      <c r="M55" s="105"/>
      <c r="N55" s="105">
        <f>D55*J55</f>
        <v>0</v>
      </c>
      <c r="O55" s="105">
        <f t="shared" ref="O55" si="5">SUM(L55:N55)</f>
        <v>0</v>
      </c>
      <c r="P55" s="245">
        <f>'Rider Rates'!D129</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241</v>
      </c>
      <c r="B56" s="78"/>
      <c r="C56" s="78"/>
      <c r="D56" s="100"/>
      <c r="E56" s="101" t="s">
        <v>115</v>
      </c>
      <c r="F56" s="102" t="s">
        <v>8</v>
      </c>
      <c r="G56" s="263"/>
      <c r="H56" s="263"/>
      <c r="I56" s="263">
        <f>'Rider Rates'!$B$136</f>
        <v>0</v>
      </c>
      <c r="J56" s="263">
        <f>SUM(G56:I56)</f>
        <v>0</v>
      </c>
      <c r="K56" s="104"/>
      <c r="L56" s="209"/>
      <c r="M56" s="209"/>
      <c r="N56" s="209">
        <f>J56</f>
        <v>0</v>
      </c>
      <c r="O56" s="209">
        <f>SUM(L56:N56)</f>
        <v>0</v>
      </c>
      <c r="P56" s="264">
        <f>'Rider Rates'!D136</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243</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79" t="s">
        <v>71</v>
      </c>
      <c r="B58" s="148"/>
      <c r="C58" s="148"/>
      <c r="D58" s="180"/>
      <c r="E58" s="181"/>
      <c r="F58" s="182"/>
      <c r="G58" s="182"/>
      <c r="H58" s="182"/>
      <c r="I58" s="182"/>
      <c r="J58" s="182"/>
      <c r="K58" s="183"/>
      <c r="L58" s="169">
        <f>SUM(L31:L57)</f>
        <v>0</v>
      </c>
      <c r="M58" s="169">
        <f t="shared" ref="M58:O58" si="6">SUM(M31:M57)</f>
        <v>0</v>
      </c>
      <c r="N58" s="169">
        <f t="shared" si="6"/>
        <v>7.7399999999999993</v>
      </c>
      <c r="O58" s="169">
        <f t="shared" si="6"/>
        <v>7.7399999999999993</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85" t="s">
        <v>94</v>
      </c>
      <c r="B60" s="170"/>
      <c r="C60" s="170"/>
      <c r="D60" s="170"/>
      <c r="E60" s="170"/>
      <c r="F60" s="170"/>
      <c r="G60" s="170"/>
      <c r="H60" s="170"/>
      <c r="I60" s="170"/>
      <c r="J60" s="170"/>
      <c r="K60" s="170"/>
      <c r="L60" s="186">
        <f>L27+L58</f>
        <v>0</v>
      </c>
      <c r="M60" s="186">
        <f>M27+M58</f>
        <v>0</v>
      </c>
      <c r="N60" s="186">
        <f>N27+N58</f>
        <v>17.739999999999998</v>
      </c>
      <c r="O60" s="187">
        <f>O27+O58</f>
        <v>17.739999999999998</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66" t="s">
        <v>93</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48" t="s">
        <v>117</v>
      </c>
      <c r="B65" s="151"/>
      <c r="C65" s="151"/>
      <c r="D65" s="151"/>
      <c r="E65" s="151"/>
      <c r="F65" s="151"/>
      <c r="G65" s="151"/>
      <c r="H65" s="151"/>
      <c r="I65" s="151"/>
      <c r="J65" s="151"/>
      <c r="K65" s="151"/>
      <c r="L65" s="151"/>
      <c r="M65" s="151"/>
      <c r="N65" s="151"/>
      <c r="O65" s="190">
        <f>IF($D$17&lt;0,O60,IF(O60&gt;O63,O60,O63))</f>
        <v>17.739999999999998</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66"/>
      <c r="C67" s="166"/>
      <c r="D67" s="166"/>
      <c r="E67" s="166"/>
      <c r="F67" s="166"/>
      <c r="G67" s="166"/>
      <c r="H67" s="166"/>
      <c r="I67" s="166" t="s">
        <v>121</v>
      </c>
      <c r="J67" s="166"/>
      <c r="K67" s="166"/>
      <c r="L67" s="191"/>
      <c r="M67" s="191"/>
      <c r="N67" s="191"/>
      <c r="O67" s="191">
        <f>ROUND(IF($D$17&lt;1,0,O60/($D$17*100)*10000),2)</f>
        <v>0</v>
      </c>
      <c r="P67" s="37" t="s">
        <v>87</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
      <c r="A68" s="37"/>
      <c r="B68" s="78"/>
      <c r="C68" s="78"/>
      <c r="D68" s="78"/>
      <c r="E68" s="78"/>
      <c r="F68" s="78"/>
      <c r="G68" s="78"/>
      <c r="H68" s="192"/>
      <c r="I68" s="242" t="s">
        <v>190</v>
      </c>
      <c r="J68" s="78"/>
      <c r="K68" s="78"/>
      <c r="L68" s="78"/>
      <c r="M68" s="78"/>
      <c r="N68" s="78"/>
      <c r="O68" s="243">
        <f>ROUND(IF($D$17&lt;1,0,(L60)/($D$17*100)*10000),2)</f>
        <v>0</v>
      </c>
      <c r="P68" s="25" t="s">
        <v>87</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78"/>
      <c r="D71" s="1"/>
      <c r="E71" s="35"/>
      <c r="F71" s="106"/>
      <c r="Q71" s="80"/>
    </row>
    <row r="72" spans="1:236" x14ac:dyDescent="0.2">
      <c r="A72" s="96"/>
      <c r="D72" s="1"/>
      <c r="E72" s="35"/>
      <c r="F72" s="4"/>
      <c r="Q72" s="36"/>
    </row>
    <row r="73" spans="1:236" x14ac:dyDescent="0.2">
      <c r="A73" s="96"/>
      <c r="D73" s="1"/>
      <c r="E73" s="35"/>
      <c r="F73" s="4"/>
      <c r="Q73" s="36"/>
    </row>
    <row r="74" spans="1:236" x14ac:dyDescent="0.2">
      <c r="A74" s="41"/>
      <c r="B74" s="77"/>
      <c r="C74" s="77"/>
      <c r="D74" s="77"/>
      <c r="E74" s="77"/>
      <c r="F74" s="77"/>
    </row>
    <row r="75" spans="1:236" x14ac:dyDescent="0.2">
      <c r="B75" s="37"/>
      <c r="C75" s="37"/>
      <c r="D75" s="37"/>
      <c r="E75" s="37"/>
      <c r="F75" s="37"/>
      <c r="P75" s="37"/>
      <c r="Q75" s="37"/>
    </row>
    <row r="76" spans="1:236" x14ac:dyDescent="0.2">
      <c r="B76" s="37"/>
      <c r="C76" s="37"/>
      <c r="D76" s="37"/>
      <c r="E76" s="37"/>
      <c r="F76" s="37"/>
      <c r="P76" s="25"/>
      <c r="Q76" s="25"/>
    </row>
    <row r="79" spans="1:236" x14ac:dyDescent="0.2">
      <c r="A79" s="478"/>
    </row>
    <row r="80" spans="1:23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5"/>
  <sheetViews>
    <sheetView topLeftCell="A24"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327</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45806</v>
      </c>
      <c r="B6" s="384" t="s">
        <v>325</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6</v>
      </c>
      <c r="C11" s="340" t="str">
        <f>LOOKUP(B11,R11:AD11,R12:AD12)</f>
        <v>June</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Rates'!B144</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45747</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1.8006999999999999E-3</v>
      </c>
      <c r="J38" s="386">
        <f>SUM(G38:I38)</f>
        <v>1.8006999999999999E-3</v>
      </c>
      <c r="K38" s="364" t="s">
        <v>42</v>
      </c>
      <c r="L38" s="250"/>
      <c r="M38" s="250"/>
      <c r="N38" s="250">
        <f>D38*J38</f>
        <v>0</v>
      </c>
      <c r="O38" s="250">
        <f t="shared" si="2"/>
        <v>0</v>
      </c>
      <c r="P38" s="358">
        <f>'Rider Rates'!E49</f>
        <v>45658</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1.9512100000000001E-2</v>
      </c>
      <c r="J42" s="398">
        <f t="shared" si="0"/>
        <v>1.9512100000000001E-2</v>
      </c>
      <c r="K42" s="364"/>
      <c r="L42" s="250"/>
      <c r="M42" s="250"/>
      <c r="N42" s="250">
        <f>ROUND(D42*I42,2)</f>
        <v>2.7</v>
      </c>
      <c r="O42" s="250">
        <f t="shared" si="2"/>
        <v>2.7</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18.72</v>
      </c>
      <c r="J44" s="400">
        <f t="shared" si="0"/>
        <v>18.72</v>
      </c>
      <c r="K44" s="364"/>
      <c r="L44" s="250"/>
      <c r="M44" s="250"/>
      <c r="N44" s="250">
        <f>I44</f>
        <v>18.72</v>
      </c>
      <c r="O44" s="250">
        <f t="shared" si="2"/>
        <v>18.72</v>
      </c>
      <c r="P44" s="358">
        <f>'Rider Rates'!$D$91</f>
        <v>45747</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0.24140039999999999</v>
      </c>
      <c r="J46" s="398">
        <f t="shared" si="0"/>
        <v>0.24140039999999999</v>
      </c>
      <c r="K46" s="364"/>
      <c r="L46" s="250"/>
      <c r="M46" s="250"/>
      <c r="N46" s="250">
        <f>ROUND(D46*I46,2)</f>
        <v>33.43</v>
      </c>
      <c r="O46" s="250">
        <f t="shared" si="2"/>
        <v>33.43</v>
      </c>
      <c r="P46" s="358">
        <f>'Rider Rates'!$D$105</f>
        <v>45716</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68.97</v>
      </c>
      <c r="O55" s="412">
        <f t="shared" si="4"/>
        <v>68.97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207.47</v>
      </c>
      <c r="O57" s="417">
        <f>O23+O55</f>
        <v>207.47</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207.47</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207.47</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5"/>
  <sheetViews>
    <sheetView topLeftCell="A27" zoomScale="85" zoomScaleNormal="85" workbookViewId="0">
      <selection activeCell="D39" sqref="D39"/>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326</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row>
    <row r="6" spans="1:30" x14ac:dyDescent="0.2">
      <c r="A6" s="331">
        <f ca="1">TODAY()</f>
        <v>45806</v>
      </c>
      <c r="B6" s="384" t="s">
        <v>328</v>
      </c>
      <c r="C6" s="331"/>
      <c r="D6" s="331"/>
      <c r="E6" s="331"/>
      <c r="F6" s="331"/>
      <c r="G6" s="331"/>
      <c r="H6" s="331"/>
      <c r="I6" s="331"/>
    </row>
    <row r="7" spans="1:30" ht="26.25" x14ac:dyDescent="0.4">
      <c r="A7" s="509"/>
      <c r="B7" s="509"/>
      <c r="C7" s="509"/>
      <c r="D7" s="509"/>
      <c r="E7" s="509"/>
      <c r="F7" s="509"/>
      <c r="G7" s="509"/>
      <c r="H7" s="509"/>
      <c r="I7" s="509"/>
      <c r="J7" s="509"/>
      <c r="K7" s="509"/>
      <c r="L7" s="509"/>
      <c r="M7" s="509"/>
      <c r="N7" s="509"/>
      <c r="O7" s="509"/>
      <c r="P7" s="509"/>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6</v>
      </c>
      <c r="C11" s="340" t="str">
        <f>LOOKUP(B11,R11:AD11,R12:AD12)</f>
        <v>June</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Rates'!B145</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45747</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1.8006999999999999E-3</v>
      </c>
      <c r="J38" s="386">
        <f>SUM(G38:I38)</f>
        <v>1.8006999999999999E-3</v>
      </c>
      <c r="K38" s="364" t="s">
        <v>42</v>
      </c>
      <c r="L38" s="250"/>
      <c r="M38" s="250"/>
      <c r="N38" s="250">
        <f>D38*J38</f>
        <v>0</v>
      </c>
      <c r="O38" s="250">
        <f t="shared" si="2"/>
        <v>0</v>
      </c>
      <c r="P38" s="358">
        <f>'Rider Rates'!E49</f>
        <v>45658</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1.9512100000000001E-2</v>
      </c>
      <c r="J42" s="398">
        <f t="shared" si="0"/>
        <v>1.9512100000000001E-2</v>
      </c>
      <c r="K42" s="364"/>
      <c r="L42" s="250"/>
      <c r="M42" s="250"/>
      <c r="N42" s="250">
        <f>ROUND(D42*I42,2)</f>
        <v>16.100000000000001</v>
      </c>
      <c r="O42" s="250">
        <f t="shared" si="2"/>
        <v>16.100000000000001</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18.72</v>
      </c>
      <c r="J44" s="400">
        <f t="shared" si="0"/>
        <v>18.72</v>
      </c>
      <c r="K44" s="364"/>
      <c r="L44" s="250"/>
      <c r="M44" s="250"/>
      <c r="N44" s="250">
        <f>I44</f>
        <v>18.72</v>
      </c>
      <c r="O44" s="250">
        <f t="shared" si="2"/>
        <v>18.72</v>
      </c>
      <c r="P44" s="358">
        <f>'Rider Rates'!$D$91</f>
        <v>45747</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0.24140039999999999</v>
      </c>
      <c r="J46" s="398">
        <f t="shared" si="0"/>
        <v>0.24140039999999999</v>
      </c>
      <c r="K46" s="364"/>
      <c r="L46" s="250"/>
      <c r="M46" s="250"/>
      <c r="N46" s="250">
        <f>ROUND(D46*I46,2)</f>
        <v>199.16</v>
      </c>
      <c r="O46" s="250">
        <f t="shared" si="2"/>
        <v>199.16</v>
      </c>
      <c r="P46" s="358">
        <f>'Rider Rates'!$D$105</f>
        <v>45716</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2.9050000000000001E-4</v>
      </c>
      <c r="J50" s="437">
        <f>SUM(G50:I50)</f>
        <v>2.9050000000000001E-4</v>
      </c>
      <c r="K50" s="364" t="s">
        <v>42</v>
      </c>
      <c r="L50" s="438"/>
      <c r="M50" s="438"/>
      <c r="N50" s="438">
        <f>IF(D50*J50&gt;'Rider Rates'!$C$125,'Rider Rates'!$C$125,D50*J50)</f>
        <v>0</v>
      </c>
      <c r="O50" s="438">
        <f>SUM(L50:N50)</f>
        <v>0</v>
      </c>
      <c r="P50" s="406">
        <f>'Rider Rates'!$E$125</f>
        <v>45658</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294.08</v>
      </c>
      <c r="O55" s="412">
        <f t="shared" si="4"/>
        <v>294.08</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1119.08</v>
      </c>
      <c r="O57" s="417">
        <f>O23+O55</f>
        <v>1119.08</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1119.08</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1119.08</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6"/>
  <sheetViews>
    <sheetView workbookViewId="0"/>
  </sheetViews>
  <sheetFormatPr defaultRowHeight="12.75" x14ac:dyDescent="0.2"/>
  <cols>
    <col min="1" max="1" width="70.140625" bestFit="1" customWidth="1"/>
    <col min="2" max="2" width="13.42578125" style="276" bestFit="1" customWidth="1"/>
    <col min="3" max="3" width="12.42578125" style="276" customWidth="1"/>
    <col min="4" max="4" width="13.5703125" style="276" bestFit="1" customWidth="1"/>
    <col min="5" max="5" width="11.5703125" style="18" bestFit="1" customWidth="1"/>
    <col min="6" max="6" width="13.5703125" style="18" bestFit="1" customWidth="1"/>
    <col min="7" max="7" width="15.5703125" style="18" customWidth="1"/>
    <col min="8" max="8" width="11.5703125" style="18" bestFit="1" customWidth="1"/>
  </cols>
  <sheetData>
    <row r="1" spans="1:10" x14ac:dyDescent="0.2">
      <c r="A1" s="79" t="s">
        <v>133</v>
      </c>
      <c r="B1" s="305" t="s">
        <v>1</v>
      </c>
      <c r="C1" s="305"/>
      <c r="D1" s="305" t="s">
        <v>7</v>
      </c>
      <c r="E1" s="306" t="s">
        <v>1</v>
      </c>
      <c r="F1" s="306" t="s">
        <v>7</v>
      </c>
    </row>
    <row r="3" spans="1:10" x14ac:dyDescent="0.2">
      <c r="A3" s="25" t="s">
        <v>136</v>
      </c>
    </row>
    <row r="4" spans="1:10" x14ac:dyDescent="0.2">
      <c r="A4" s="145" t="s">
        <v>134</v>
      </c>
      <c r="B4" s="324">
        <v>4.6278999999999999E-3</v>
      </c>
      <c r="C4" s="307"/>
      <c r="D4" s="271">
        <v>45657</v>
      </c>
    </row>
    <row r="5" spans="1:10" x14ac:dyDescent="0.2">
      <c r="A5" s="145" t="s">
        <v>135</v>
      </c>
      <c r="B5" s="324">
        <v>1.7560000000000001E-4</v>
      </c>
      <c r="C5" s="307"/>
      <c r="D5" s="271">
        <v>45657</v>
      </c>
    </row>
    <row r="7" spans="1:10" x14ac:dyDescent="0.2">
      <c r="A7" s="25" t="s">
        <v>137</v>
      </c>
      <c r="D7" s="271">
        <v>44531</v>
      </c>
    </row>
    <row r="8" spans="1:10" x14ac:dyDescent="0.2">
      <c r="A8" s="145" t="s">
        <v>138</v>
      </c>
      <c r="B8" s="308">
        <v>4.6499999999999996E-3</v>
      </c>
      <c r="C8" s="308"/>
      <c r="D8" s="271"/>
    </row>
    <row r="9" spans="1:10" x14ac:dyDescent="0.2">
      <c r="A9" s="227" t="s">
        <v>140</v>
      </c>
      <c r="B9" s="308">
        <v>4.1900000000000001E-3</v>
      </c>
      <c r="C9" s="308"/>
      <c r="D9" s="271"/>
    </row>
    <row r="10" spans="1:10" x14ac:dyDescent="0.2">
      <c r="A10" s="145" t="s">
        <v>139</v>
      </c>
      <c r="B10" s="308">
        <v>3.63E-3</v>
      </c>
      <c r="C10" s="308"/>
      <c r="D10" s="271"/>
    </row>
    <row r="12" spans="1:10" x14ac:dyDescent="0.2">
      <c r="A12" s="133" t="s">
        <v>141</v>
      </c>
      <c r="B12" s="309">
        <v>0</v>
      </c>
      <c r="C12" s="309"/>
      <c r="D12" s="271">
        <v>44531</v>
      </c>
    </row>
    <row r="14" spans="1:10" x14ac:dyDescent="0.2">
      <c r="A14" s="275" t="s">
        <v>158</v>
      </c>
      <c r="B14" s="510"/>
      <c r="C14" s="511"/>
      <c r="D14" s="511"/>
      <c r="G14" s="275"/>
      <c r="H14" s="512"/>
      <c r="I14" s="512"/>
      <c r="J14" s="512"/>
    </row>
    <row r="15" spans="1:10" x14ac:dyDescent="0.2">
      <c r="A15" s="273" t="s">
        <v>278</v>
      </c>
      <c r="B15" s="270">
        <v>0</v>
      </c>
      <c r="C15" s="270"/>
      <c r="D15" s="271">
        <v>45505</v>
      </c>
      <c r="G15" s="273"/>
      <c r="H15" s="270"/>
      <c r="I15" s="270"/>
      <c r="J15" s="271"/>
    </row>
    <row r="16" spans="1:10" x14ac:dyDescent="0.2">
      <c r="A16" s="272" t="s">
        <v>279</v>
      </c>
      <c r="B16" s="270">
        <v>0</v>
      </c>
      <c r="C16" s="270"/>
      <c r="D16" s="271">
        <v>45322</v>
      </c>
    </row>
    <row r="17" spans="1:6" x14ac:dyDescent="0.2">
      <c r="A17" s="18"/>
    </row>
    <row r="18" spans="1:6" x14ac:dyDescent="0.2">
      <c r="A18" s="25" t="s">
        <v>238</v>
      </c>
      <c r="B18" s="319">
        <v>0</v>
      </c>
      <c r="C18" s="271"/>
      <c r="D18" s="271">
        <v>44531</v>
      </c>
      <c r="E18" s="320">
        <v>0</v>
      </c>
      <c r="F18" s="271">
        <v>44531</v>
      </c>
    </row>
    <row r="20" spans="1:6" x14ac:dyDescent="0.2">
      <c r="A20" s="133" t="s">
        <v>178</v>
      </c>
      <c r="B20" s="310" t="s">
        <v>166</v>
      </c>
      <c r="C20" s="310" t="s">
        <v>167</v>
      </c>
    </row>
    <row r="21" spans="1:6" x14ac:dyDescent="0.2">
      <c r="A21" s="227" t="s">
        <v>153</v>
      </c>
      <c r="B21" s="461">
        <v>7.6880000000000004E-2</v>
      </c>
      <c r="C21" s="461">
        <v>7.6880000000000004E-2</v>
      </c>
      <c r="D21" s="315">
        <v>45809</v>
      </c>
    </row>
    <row r="22" spans="1:6" x14ac:dyDescent="0.2">
      <c r="A22" s="288" t="s">
        <v>297</v>
      </c>
      <c r="B22" s="461">
        <v>7.6880000000000004E-2</v>
      </c>
      <c r="C22" s="461">
        <v>7.6880000000000004E-2</v>
      </c>
      <c r="D22" s="315">
        <v>45809</v>
      </c>
    </row>
    <row r="23" spans="1:6" x14ac:dyDescent="0.2">
      <c r="A23" s="227" t="s">
        <v>180</v>
      </c>
      <c r="B23" s="461">
        <v>7.6880000000000004E-2</v>
      </c>
      <c r="C23" s="461">
        <v>7.6880000000000004E-2</v>
      </c>
      <c r="D23" s="315">
        <v>45809</v>
      </c>
    </row>
    <row r="24" spans="1:6" x14ac:dyDescent="0.2">
      <c r="A24" s="227" t="s">
        <v>181</v>
      </c>
      <c r="B24" s="462">
        <v>7.4289999999999995E-2</v>
      </c>
      <c r="C24" s="462">
        <v>7.4289999999999995E-2</v>
      </c>
      <c r="D24" s="315">
        <v>45809</v>
      </c>
    </row>
    <row r="25" spans="1:6" x14ac:dyDescent="0.2">
      <c r="A25" s="227" t="s">
        <v>182</v>
      </c>
      <c r="B25" s="462">
        <v>7.2950000000000001E-2</v>
      </c>
      <c r="C25" s="462">
        <v>7.2950000000000001E-2</v>
      </c>
      <c r="D25" s="315">
        <v>45809</v>
      </c>
    </row>
    <row r="26" spans="1:6" x14ac:dyDescent="0.2">
      <c r="A26" s="145"/>
      <c r="B26" s="270"/>
      <c r="C26" s="270"/>
      <c r="D26" s="271"/>
    </row>
    <row r="27" spans="1:6" x14ac:dyDescent="0.2">
      <c r="A27" s="133" t="s">
        <v>160</v>
      </c>
      <c r="B27" s="310" t="s">
        <v>166</v>
      </c>
      <c r="C27" s="310" t="s">
        <v>167</v>
      </c>
      <c r="D27" s="271"/>
    </row>
    <row r="28" spans="1:6" x14ac:dyDescent="0.2">
      <c r="A28" s="227" t="s">
        <v>188</v>
      </c>
      <c r="B28" s="462">
        <v>2.298E-2</v>
      </c>
      <c r="C28" s="307"/>
      <c r="D28" s="315">
        <v>45809</v>
      </c>
    </row>
    <row r="29" spans="1:6" x14ac:dyDescent="0.2">
      <c r="A29" s="145" t="s">
        <v>171</v>
      </c>
      <c r="B29" s="463">
        <v>4.7587499999999998E-2</v>
      </c>
      <c r="C29" s="270"/>
      <c r="D29" s="315">
        <v>45809</v>
      </c>
    </row>
    <row r="30" spans="1:6" x14ac:dyDescent="0.2">
      <c r="A30" s="145" t="s">
        <v>170</v>
      </c>
      <c r="B30" s="463">
        <v>1.3109600000000001E-2</v>
      </c>
      <c r="C30" s="307"/>
      <c r="D30" s="315">
        <v>45809</v>
      </c>
    </row>
    <row r="31" spans="1:6" x14ac:dyDescent="0.2">
      <c r="A31" s="145" t="s">
        <v>223</v>
      </c>
      <c r="B31" s="463">
        <v>0.19200049999999999</v>
      </c>
      <c r="C31" s="307"/>
      <c r="D31" s="315">
        <v>45809</v>
      </c>
    </row>
    <row r="32" spans="1:6" x14ac:dyDescent="0.2">
      <c r="A32" s="145" t="s">
        <v>224</v>
      </c>
      <c r="B32" s="463">
        <v>0</v>
      </c>
      <c r="C32" s="307"/>
      <c r="D32" s="315">
        <v>45809</v>
      </c>
    </row>
    <row r="33" spans="1:6" x14ac:dyDescent="0.2">
      <c r="A33" s="145" t="s">
        <v>143</v>
      </c>
      <c r="B33" s="463">
        <v>1.8849999999999999E-2</v>
      </c>
      <c r="C33" s="270"/>
      <c r="D33" s="315">
        <v>45809</v>
      </c>
    </row>
    <row r="34" spans="1:6" x14ac:dyDescent="0.2">
      <c r="A34" s="227" t="s">
        <v>180</v>
      </c>
      <c r="B34" s="463">
        <v>1.8180000000000002E-2</v>
      </c>
      <c r="C34" s="307"/>
      <c r="D34" s="315">
        <v>45809</v>
      </c>
    </row>
    <row r="35" spans="1:6" x14ac:dyDescent="0.2">
      <c r="A35" s="227" t="s">
        <v>228</v>
      </c>
      <c r="B35" s="463">
        <v>0.15807350000000001</v>
      </c>
      <c r="C35" s="307"/>
      <c r="D35" s="315">
        <v>45809</v>
      </c>
    </row>
    <row r="36" spans="1:6" x14ac:dyDescent="0.2">
      <c r="A36" s="227" t="s">
        <v>227</v>
      </c>
      <c r="B36" s="463">
        <v>0</v>
      </c>
      <c r="C36" s="307"/>
      <c r="D36" s="315">
        <v>45809</v>
      </c>
    </row>
    <row r="37" spans="1:6" x14ac:dyDescent="0.2">
      <c r="A37" s="227" t="s">
        <v>181</v>
      </c>
      <c r="B37" s="165">
        <v>1.3849999999999999E-2</v>
      </c>
      <c r="D37" s="315">
        <v>45809</v>
      </c>
    </row>
    <row r="38" spans="1:6" x14ac:dyDescent="0.2">
      <c r="A38" s="227" t="s">
        <v>182</v>
      </c>
      <c r="B38" s="165">
        <v>1.6299999999999999E-2</v>
      </c>
      <c r="D38" s="315">
        <v>45809</v>
      </c>
    </row>
    <row r="39" spans="1:6" x14ac:dyDescent="0.2">
      <c r="A39" s="288" t="s">
        <v>294</v>
      </c>
      <c r="B39" s="463">
        <v>3.0884399999999999E-2</v>
      </c>
      <c r="D39" s="315">
        <v>45809</v>
      </c>
    </row>
    <row r="40" spans="1:6" x14ac:dyDescent="0.2">
      <c r="A40" s="288" t="s">
        <v>295</v>
      </c>
      <c r="B40" s="165">
        <v>1.06385E-2</v>
      </c>
      <c r="D40" s="315">
        <v>45809</v>
      </c>
    </row>
    <row r="41" spans="1:6" x14ac:dyDescent="0.2">
      <c r="A41" s="288" t="s">
        <v>334</v>
      </c>
      <c r="B41" s="165">
        <v>2.10674E-2</v>
      </c>
      <c r="C41" s="464">
        <v>9.0900000000000009E-3</v>
      </c>
      <c r="D41" s="315">
        <v>45809</v>
      </c>
    </row>
    <row r="42" spans="1:6" x14ac:dyDescent="0.2">
      <c r="A42" s="288" t="s">
        <v>335</v>
      </c>
      <c r="B42" s="165">
        <v>0.163969</v>
      </c>
      <c r="C42" s="464">
        <v>6.9249999999999997E-3</v>
      </c>
      <c r="D42" s="315">
        <v>45809</v>
      </c>
    </row>
    <row r="43" spans="1:6" x14ac:dyDescent="0.2">
      <c r="A43" s="288" t="s">
        <v>336</v>
      </c>
      <c r="B43" s="165">
        <v>1.9659699999999999E-2</v>
      </c>
      <c r="C43" s="464">
        <v>8.1499999999999993E-3</v>
      </c>
      <c r="D43" s="315">
        <v>45809</v>
      </c>
    </row>
    <row r="44" spans="1:6" x14ac:dyDescent="0.2">
      <c r="A44" s="288"/>
      <c r="B44" s="307"/>
      <c r="D44" s="271"/>
    </row>
    <row r="45" spans="1:6" x14ac:dyDescent="0.2">
      <c r="A45" s="133" t="s">
        <v>183</v>
      </c>
      <c r="B45" s="448">
        <v>-4.1073000000000004E-3</v>
      </c>
      <c r="C45" s="18"/>
      <c r="D45" s="326">
        <v>45747</v>
      </c>
      <c r="E45" s="276"/>
      <c r="F45" s="276"/>
    </row>
    <row r="46" spans="1:6" x14ac:dyDescent="0.2">
      <c r="A46" s="145"/>
      <c r="D46" s="271"/>
      <c r="E46" s="276"/>
      <c r="F46" s="276"/>
    </row>
    <row r="47" spans="1:6" x14ac:dyDescent="0.2">
      <c r="A47" s="133" t="s">
        <v>210</v>
      </c>
      <c r="B47" s="321" t="s">
        <v>213</v>
      </c>
      <c r="C47" s="321" t="s">
        <v>214</v>
      </c>
      <c r="D47" s="321" t="s">
        <v>34</v>
      </c>
      <c r="E47" s="321" t="s">
        <v>215</v>
      </c>
      <c r="F47" s="276"/>
    </row>
    <row r="48" spans="1:6" x14ac:dyDescent="0.2">
      <c r="A48" s="227" t="s">
        <v>211</v>
      </c>
      <c r="B48" s="453">
        <v>1.18</v>
      </c>
      <c r="C48" s="454">
        <v>-0.01</v>
      </c>
      <c r="D48" s="455">
        <f>SUM(B48:C48)</f>
        <v>1.17</v>
      </c>
      <c r="E48" s="323">
        <v>45658</v>
      </c>
      <c r="F48" s="276"/>
    </row>
    <row r="49" spans="1:8" x14ac:dyDescent="0.2">
      <c r="A49" s="227" t="s">
        <v>212</v>
      </c>
      <c r="B49" s="449">
        <v>1.8006999999999999E-3</v>
      </c>
      <c r="C49" s="450">
        <v>0</v>
      </c>
      <c r="D49" s="451">
        <f>SUM(B49:C49)</f>
        <v>1.8006999999999999E-3</v>
      </c>
      <c r="E49" s="323">
        <v>45658</v>
      </c>
      <c r="F49" s="276"/>
    </row>
    <row r="50" spans="1:8" x14ac:dyDescent="0.2">
      <c r="A50" s="227"/>
      <c r="B50" s="292"/>
      <c r="D50" s="271"/>
      <c r="E50" s="276"/>
      <c r="F50" s="276"/>
    </row>
    <row r="51" spans="1:8" x14ac:dyDescent="0.2">
      <c r="A51" s="227"/>
      <c r="B51" s="292"/>
      <c r="D51" s="271"/>
    </row>
    <row r="52" spans="1:8" x14ac:dyDescent="0.2">
      <c r="A52" s="227"/>
      <c r="B52" s="292"/>
      <c r="D52" s="271"/>
    </row>
    <row r="53" spans="1:8" x14ac:dyDescent="0.2">
      <c r="A53" s="145"/>
      <c r="D53" s="271"/>
    </row>
    <row r="54" spans="1:8" x14ac:dyDescent="0.2">
      <c r="A54" s="133" t="s">
        <v>184</v>
      </c>
    </row>
    <row r="55" spans="1:8" x14ac:dyDescent="0.2">
      <c r="A55" s="227" t="s">
        <v>153</v>
      </c>
      <c r="B55" s="18">
        <v>3.5317099999999997E-2</v>
      </c>
      <c r="C55" s="18"/>
      <c r="D55" s="326">
        <v>45747</v>
      </c>
      <c r="F55" s="311" t="s">
        <v>275</v>
      </c>
      <c r="G55" s="84">
        <v>1.9706999999999999E-2</v>
      </c>
      <c r="H55" s="326">
        <v>45747</v>
      </c>
    </row>
    <row r="56" spans="1:8" x14ac:dyDescent="0.2">
      <c r="A56" s="227" t="s">
        <v>179</v>
      </c>
      <c r="B56" s="457">
        <v>1.9706999999999999E-2</v>
      </c>
      <c r="C56" s="18"/>
      <c r="D56" s="326">
        <v>45747</v>
      </c>
      <c r="F56" s="311" t="s">
        <v>276</v>
      </c>
      <c r="G56" s="84">
        <v>2.7207599999999998E-2</v>
      </c>
      <c r="H56" s="326">
        <v>45747</v>
      </c>
    </row>
    <row r="57" spans="1:8" x14ac:dyDescent="0.2">
      <c r="A57" s="227" t="s">
        <v>180</v>
      </c>
      <c r="B57" s="18">
        <v>4.5750000000000001E-4</v>
      </c>
      <c r="C57" s="18"/>
      <c r="D57" s="326">
        <v>45747</v>
      </c>
    </row>
    <row r="58" spans="1:8" x14ac:dyDescent="0.2">
      <c r="A58" s="227" t="s">
        <v>181</v>
      </c>
      <c r="B58" s="18">
        <v>4.4210000000000001E-4</v>
      </c>
      <c r="C58" s="18"/>
      <c r="D58" s="326">
        <v>45747</v>
      </c>
    </row>
    <row r="59" spans="1:8" x14ac:dyDescent="0.2">
      <c r="A59" s="227" t="s">
        <v>182</v>
      </c>
      <c r="B59" s="18">
        <v>4.3409999999999998E-4</v>
      </c>
      <c r="C59" s="18"/>
      <c r="D59" s="326">
        <v>45747</v>
      </c>
    </row>
    <row r="60" spans="1:8" x14ac:dyDescent="0.2">
      <c r="B60" s="18"/>
    </row>
    <row r="61" spans="1:8" x14ac:dyDescent="0.2">
      <c r="A61" s="133" t="s">
        <v>185</v>
      </c>
      <c r="B61" s="18"/>
    </row>
    <row r="62" spans="1:8" x14ac:dyDescent="0.2">
      <c r="A62" s="227" t="s">
        <v>180</v>
      </c>
      <c r="B62" s="458">
        <v>6.95</v>
      </c>
      <c r="C62" s="18"/>
      <c r="D62" s="326">
        <v>45747</v>
      </c>
    </row>
    <row r="63" spans="1:8" x14ac:dyDescent="0.2">
      <c r="A63" s="227" t="s">
        <v>181</v>
      </c>
      <c r="B63" s="458">
        <v>8.59</v>
      </c>
      <c r="C63" s="18"/>
      <c r="D63" s="326">
        <v>45747</v>
      </c>
    </row>
    <row r="64" spans="1:8" x14ac:dyDescent="0.2">
      <c r="A64" s="227" t="s">
        <v>182</v>
      </c>
      <c r="B64" s="458">
        <v>7.72</v>
      </c>
      <c r="C64" s="18"/>
      <c r="D64" s="326">
        <v>45747</v>
      </c>
    </row>
    <row r="65" spans="1:4" x14ac:dyDescent="0.2">
      <c r="A65" s="145"/>
      <c r="D65" s="271"/>
    </row>
    <row r="66" spans="1:4" x14ac:dyDescent="0.2">
      <c r="A66" s="133" t="s">
        <v>337</v>
      </c>
      <c r="B66" s="459">
        <v>7.3870000000000001E-4</v>
      </c>
      <c r="D66" s="326">
        <v>45747</v>
      </c>
    </row>
    <row r="67" spans="1:4" x14ac:dyDescent="0.2">
      <c r="A67" s="145"/>
      <c r="D67" s="271"/>
    </row>
    <row r="68" spans="1:4" x14ac:dyDescent="0.2">
      <c r="A68" s="133" t="s">
        <v>338</v>
      </c>
      <c r="C68" s="312" t="s">
        <v>207</v>
      </c>
      <c r="D68" s="271"/>
    </row>
    <row r="69" spans="1:4" x14ac:dyDescent="0.2">
      <c r="A69" s="145" t="s">
        <v>142</v>
      </c>
      <c r="B69" s="307">
        <v>0</v>
      </c>
      <c r="C69" s="307">
        <v>0</v>
      </c>
      <c r="D69" s="315">
        <v>45444</v>
      </c>
    </row>
    <row r="70" spans="1:4" x14ac:dyDescent="0.2">
      <c r="A70" s="145" t="s">
        <v>143</v>
      </c>
      <c r="B70" s="307">
        <v>0</v>
      </c>
      <c r="C70" s="307">
        <v>0</v>
      </c>
      <c r="D70" s="315">
        <v>45444</v>
      </c>
    </row>
    <row r="71" spans="1:4" x14ac:dyDescent="0.2">
      <c r="A71" s="145" t="s">
        <v>148</v>
      </c>
      <c r="B71" s="307">
        <v>0</v>
      </c>
      <c r="C71" s="307">
        <v>0</v>
      </c>
      <c r="D71" s="315">
        <v>45444</v>
      </c>
    </row>
    <row r="72" spans="1:4" x14ac:dyDescent="0.2">
      <c r="A72" s="145" t="s">
        <v>144</v>
      </c>
      <c r="B72" s="307">
        <v>0</v>
      </c>
      <c r="C72" s="307">
        <v>0</v>
      </c>
      <c r="D72" s="315">
        <v>45444</v>
      </c>
    </row>
    <row r="73" spans="1:4" x14ac:dyDescent="0.2">
      <c r="A73" s="145" t="s">
        <v>149</v>
      </c>
      <c r="B73" s="307">
        <v>0</v>
      </c>
      <c r="C73" s="307">
        <v>0</v>
      </c>
      <c r="D73" s="315">
        <v>45444</v>
      </c>
    </row>
    <row r="74" spans="1:4" x14ac:dyDescent="0.2">
      <c r="A74" s="145" t="s">
        <v>150</v>
      </c>
      <c r="B74" s="307">
        <v>0</v>
      </c>
      <c r="C74" s="307">
        <v>0</v>
      </c>
      <c r="D74" s="315">
        <v>45444</v>
      </c>
    </row>
    <row r="75" spans="1:4" x14ac:dyDescent="0.2">
      <c r="A75" s="145"/>
      <c r="B75" s="270"/>
      <c r="C75" s="270"/>
      <c r="D75" s="271"/>
    </row>
    <row r="76" spans="1:4" x14ac:dyDescent="0.2">
      <c r="A76" s="133" t="s">
        <v>195</v>
      </c>
      <c r="D76" s="271"/>
    </row>
    <row r="77" spans="1:4" x14ac:dyDescent="0.2">
      <c r="A77" s="145" t="s">
        <v>143</v>
      </c>
      <c r="B77" s="313">
        <v>0</v>
      </c>
      <c r="C77" s="307"/>
      <c r="D77" s="315">
        <v>45444</v>
      </c>
    </row>
    <row r="78" spans="1:4" x14ac:dyDescent="0.2">
      <c r="A78" s="145" t="s">
        <v>144</v>
      </c>
      <c r="B78" s="313">
        <v>0</v>
      </c>
      <c r="C78" s="307"/>
      <c r="D78" s="315">
        <v>45444</v>
      </c>
    </row>
    <row r="79" spans="1:4" x14ac:dyDescent="0.2">
      <c r="A79" s="145"/>
      <c r="B79" s="270"/>
      <c r="C79" s="270"/>
      <c r="D79" s="271"/>
    </row>
    <row r="80" spans="1:4" x14ac:dyDescent="0.2">
      <c r="A80" s="133" t="s">
        <v>196</v>
      </c>
      <c r="D80" s="271"/>
    </row>
    <row r="81" spans="1:6" x14ac:dyDescent="0.2">
      <c r="A81" s="145" t="s">
        <v>148</v>
      </c>
      <c r="B81" s="313">
        <v>0</v>
      </c>
      <c r="C81" s="307"/>
      <c r="D81" s="315">
        <v>45444</v>
      </c>
    </row>
    <row r="82" spans="1:6" x14ac:dyDescent="0.2">
      <c r="A82" s="145" t="s">
        <v>149</v>
      </c>
      <c r="B82" s="313">
        <v>0</v>
      </c>
      <c r="C82" s="307"/>
      <c r="D82" s="315">
        <v>45444</v>
      </c>
    </row>
    <row r="83" spans="1:6" x14ac:dyDescent="0.2">
      <c r="A83" s="145" t="s">
        <v>150</v>
      </c>
      <c r="B83" s="313">
        <v>0</v>
      </c>
      <c r="C83" s="270"/>
      <c r="D83" s="315">
        <v>45444</v>
      </c>
    </row>
    <row r="84" spans="1:6" x14ac:dyDescent="0.2">
      <c r="A84" s="145"/>
      <c r="B84" s="270"/>
      <c r="C84" s="270"/>
      <c r="D84" s="271"/>
    </row>
    <row r="85" spans="1:6" x14ac:dyDescent="0.2">
      <c r="A85" s="133" t="s">
        <v>151</v>
      </c>
      <c r="B85" s="460">
        <v>1.9512100000000001E-2</v>
      </c>
      <c r="C85" s="325"/>
      <c r="D85" s="326">
        <v>45747</v>
      </c>
    </row>
    <row r="86" spans="1:6" x14ac:dyDescent="0.2">
      <c r="A86" s="145"/>
      <c r="D86" s="271"/>
    </row>
    <row r="87" spans="1:6" x14ac:dyDescent="0.2">
      <c r="A87" s="25" t="s">
        <v>152</v>
      </c>
      <c r="B87" s="314">
        <v>6.6985699999999995E-2</v>
      </c>
      <c r="C87" s="314"/>
      <c r="D87" s="271">
        <v>45167</v>
      </c>
    </row>
    <row r="89" spans="1:6" x14ac:dyDescent="0.2">
      <c r="A89" s="25" t="s">
        <v>315</v>
      </c>
      <c r="D89" s="271"/>
    </row>
    <row r="90" spans="1:6" x14ac:dyDescent="0.2">
      <c r="A90" s="301" t="s">
        <v>153</v>
      </c>
      <c r="B90" s="317">
        <v>2.2200000000000002</v>
      </c>
      <c r="C90" s="316"/>
      <c r="D90" s="326">
        <v>45747</v>
      </c>
      <c r="E90" s="276"/>
    </row>
    <row r="91" spans="1:6" x14ac:dyDescent="0.2">
      <c r="A91" s="301" t="s">
        <v>154</v>
      </c>
      <c r="B91" s="317">
        <v>18.72</v>
      </c>
      <c r="C91" s="316"/>
      <c r="D91" s="326">
        <v>45747</v>
      </c>
      <c r="E91" s="276"/>
    </row>
    <row r="92" spans="1:6" x14ac:dyDescent="0.2">
      <c r="A92" s="226"/>
      <c r="E92" s="276"/>
    </row>
    <row r="93" spans="1:6" x14ac:dyDescent="0.2">
      <c r="A93" s="302" t="s">
        <v>240</v>
      </c>
      <c r="B93" s="314"/>
      <c r="C93" s="314"/>
      <c r="D93" s="271"/>
      <c r="E93" s="276"/>
    </row>
    <row r="94" spans="1:6" x14ac:dyDescent="0.2">
      <c r="A94" s="303" t="s">
        <v>142</v>
      </c>
      <c r="B94" s="307">
        <v>0</v>
      </c>
      <c r="C94" s="307"/>
      <c r="D94" s="271">
        <v>44531</v>
      </c>
      <c r="E94" s="307"/>
      <c r="F94" s="315"/>
    </row>
    <row r="95" spans="1:6" x14ac:dyDescent="0.2">
      <c r="A95" s="303" t="s">
        <v>143</v>
      </c>
      <c r="B95" s="307">
        <v>0</v>
      </c>
      <c r="C95" s="307"/>
      <c r="D95" s="271">
        <v>44531</v>
      </c>
      <c r="E95" s="307"/>
      <c r="F95" s="315"/>
    </row>
    <row r="96" spans="1:6" x14ac:dyDescent="0.2">
      <c r="A96" s="303" t="s">
        <v>197</v>
      </c>
      <c r="B96" s="307">
        <v>0</v>
      </c>
      <c r="C96" s="307"/>
      <c r="D96" s="271">
        <v>44531</v>
      </c>
      <c r="E96" s="307"/>
      <c r="F96" s="315"/>
    </row>
    <row r="97" spans="1:6" x14ac:dyDescent="0.2">
      <c r="A97" s="303" t="s">
        <v>198</v>
      </c>
      <c r="B97" s="307">
        <v>0</v>
      </c>
      <c r="C97" s="307"/>
      <c r="D97" s="271">
        <v>44531</v>
      </c>
      <c r="E97" s="307"/>
      <c r="F97" s="315"/>
    </row>
    <row r="98" spans="1:6" x14ac:dyDescent="0.2">
      <c r="A98" s="303" t="s">
        <v>199</v>
      </c>
      <c r="B98" s="307">
        <v>0</v>
      </c>
      <c r="C98" s="307"/>
      <c r="D98" s="271">
        <v>44531</v>
      </c>
      <c r="E98" s="307"/>
      <c r="F98" s="315"/>
    </row>
    <row r="99" spans="1:6" x14ac:dyDescent="0.2">
      <c r="A99" s="303" t="s">
        <v>200</v>
      </c>
      <c r="B99" s="307">
        <v>0</v>
      </c>
      <c r="C99" s="307"/>
      <c r="D99" s="271">
        <v>44531</v>
      </c>
      <c r="E99" s="307"/>
      <c r="F99" s="315"/>
    </row>
    <row r="100" spans="1:6" x14ac:dyDescent="0.2">
      <c r="A100" s="303" t="s">
        <v>201</v>
      </c>
      <c r="B100" s="307">
        <v>0</v>
      </c>
      <c r="C100" s="307"/>
      <c r="D100" s="271">
        <v>44531</v>
      </c>
      <c r="E100" s="307"/>
      <c r="F100" s="315"/>
    </row>
    <row r="101" spans="1:6" x14ac:dyDescent="0.2">
      <c r="A101" s="303" t="s">
        <v>202</v>
      </c>
      <c r="B101" s="307">
        <v>0</v>
      </c>
      <c r="C101" s="307"/>
      <c r="D101" s="271">
        <v>44531</v>
      </c>
      <c r="E101" s="307"/>
      <c r="F101" s="315"/>
    </row>
    <row r="102" spans="1:6" x14ac:dyDescent="0.2">
      <c r="A102" s="303" t="s">
        <v>203</v>
      </c>
      <c r="B102" s="307">
        <v>0</v>
      </c>
      <c r="C102" s="307"/>
      <c r="D102" s="271">
        <v>44531</v>
      </c>
      <c r="E102" s="307"/>
      <c r="F102" s="315"/>
    </row>
    <row r="103" spans="1:6" x14ac:dyDescent="0.2">
      <c r="A103" s="303" t="s">
        <v>204</v>
      </c>
      <c r="B103" s="307">
        <v>0</v>
      </c>
      <c r="C103" s="307"/>
      <c r="D103" s="271">
        <v>44531</v>
      </c>
      <c r="E103" s="307"/>
      <c r="F103" s="315"/>
    </row>
    <row r="104" spans="1:6" x14ac:dyDescent="0.2">
      <c r="A104" s="226"/>
      <c r="E104" s="276"/>
    </row>
    <row r="105" spans="1:6" x14ac:dyDescent="0.2">
      <c r="A105" s="302" t="s">
        <v>155</v>
      </c>
      <c r="B105" s="456">
        <v>0.24140039999999999</v>
      </c>
      <c r="C105" s="314"/>
      <c r="D105" s="271">
        <v>45716</v>
      </c>
      <c r="E105" s="276"/>
    </row>
    <row r="106" spans="1:6" x14ac:dyDescent="0.2">
      <c r="A106" s="226"/>
      <c r="E106" s="276"/>
    </row>
    <row r="107" spans="1:6" x14ac:dyDescent="0.2">
      <c r="A107" s="302" t="s">
        <v>209</v>
      </c>
      <c r="D107" s="271"/>
      <c r="E107" s="276"/>
    </row>
    <row r="108" spans="1:6" x14ac:dyDescent="0.2">
      <c r="A108" s="301" t="s">
        <v>153</v>
      </c>
      <c r="B108" s="316">
        <v>0</v>
      </c>
      <c r="C108" s="316"/>
      <c r="D108" s="271">
        <v>44894</v>
      </c>
      <c r="E108" s="276"/>
    </row>
    <row r="109" spans="1:6" x14ac:dyDescent="0.2">
      <c r="A109" s="301" t="s">
        <v>154</v>
      </c>
      <c r="B109" s="316">
        <v>0</v>
      </c>
      <c r="C109" s="316"/>
      <c r="D109" s="271">
        <v>44894</v>
      </c>
      <c r="E109" s="276"/>
    </row>
    <row r="110" spans="1:6" x14ac:dyDescent="0.2">
      <c r="A110" s="226"/>
      <c r="E110" s="276"/>
    </row>
    <row r="111" spans="1:6" x14ac:dyDescent="0.2">
      <c r="A111" s="133" t="s">
        <v>205</v>
      </c>
      <c r="D111" s="271"/>
    </row>
    <row r="112" spans="1:6" x14ac:dyDescent="0.2">
      <c r="A112" s="145" t="s">
        <v>145</v>
      </c>
      <c r="B112" s="293">
        <v>3.8972999999999998E-3</v>
      </c>
      <c r="C112" s="270"/>
      <c r="D112" s="271">
        <v>44531</v>
      </c>
    </row>
    <row r="113" spans="1:5" x14ac:dyDescent="0.2">
      <c r="A113" s="145" t="s">
        <v>146</v>
      </c>
      <c r="B113" s="293">
        <v>3.7618E-3</v>
      </c>
      <c r="C113" s="270"/>
      <c r="D113" s="271">
        <v>44531</v>
      </c>
    </row>
    <row r="114" spans="1:5" x14ac:dyDescent="0.2">
      <c r="A114" s="145" t="s">
        <v>147</v>
      </c>
      <c r="B114" s="293">
        <v>3.6865999999999999E-3</v>
      </c>
      <c r="C114" s="270"/>
      <c r="D114" s="271">
        <v>44531</v>
      </c>
    </row>
    <row r="116" spans="1:5" x14ac:dyDescent="0.2">
      <c r="A116" s="133" t="s">
        <v>208</v>
      </c>
    </row>
    <row r="117" spans="1:5" x14ac:dyDescent="0.2">
      <c r="A117" s="145" t="s">
        <v>153</v>
      </c>
      <c r="B117" s="316">
        <v>0</v>
      </c>
      <c r="D117" s="271">
        <v>45657</v>
      </c>
    </row>
    <row r="118" spans="1:5" x14ac:dyDescent="0.2">
      <c r="A118" s="145" t="s">
        <v>154</v>
      </c>
      <c r="B118" s="316">
        <v>0</v>
      </c>
      <c r="D118" s="271">
        <v>45657</v>
      </c>
    </row>
    <row r="120" spans="1:5" x14ac:dyDescent="0.2">
      <c r="A120" s="227" t="s">
        <v>153</v>
      </c>
      <c r="B120" s="452">
        <v>0.97</v>
      </c>
      <c r="C120" s="317"/>
      <c r="D120" s="271">
        <v>45593</v>
      </c>
    </row>
    <row r="121" spans="1:5" x14ac:dyDescent="0.2">
      <c r="A121" s="227" t="s">
        <v>154</v>
      </c>
      <c r="B121" s="452">
        <v>4.84</v>
      </c>
      <c r="C121" s="317"/>
      <c r="D121" s="271">
        <v>45593</v>
      </c>
    </row>
    <row r="123" spans="1:5" x14ac:dyDescent="0.2">
      <c r="A123" s="133" t="s">
        <v>230</v>
      </c>
      <c r="B123" s="318"/>
      <c r="E123" s="271"/>
    </row>
    <row r="124" spans="1:5" x14ac:dyDescent="0.2">
      <c r="A124" s="227" t="s">
        <v>153</v>
      </c>
      <c r="B124" s="317">
        <v>0.1</v>
      </c>
      <c r="C124" s="271"/>
      <c r="E124" s="315">
        <v>45658</v>
      </c>
    </row>
    <row r="125" spans="1:5" x14ac:dyDescent="0.2">
      <c r="A125" s="145" t="s">
        <v>134</v>
      </c>
      <c r="B125" s="293">
        <v>2.9050000000000001E-4</v>
      </c>
      <c r="C125" s="317">
        <v>242</v>
      </c>
      <c r="D125" s="276" t="s">
        <v>231</v>
      </c>
      <c r="E125" s="315">
        <v>45658</v>
      </c>
    </row>
    <row r="126" spans="1:5" x14ac:dyDescent="0.2">
      <c r="A126" s="145" t="s">
        <v>135</v>
      </c>
      <c r="B126" s="293">
        <v>0</v>
      </c>
      <c r="E126" s="315">
        <v>45658</v>
      </c>
    </row>
    <row r="128" spans="1:5" x14ac:dyDescent="0.2">
      <c r="A128" s="133" t="s">
        <v>242</v>
      </c>
    </row>
    <row r="129" spans="1:8" x14ac:dyDescent="0.2">
      <c r="A129" s="227" t="s">
        <v>153</v>
      </c>
      <c r="B129" s="317">
        <v>0</v>
      </c>
      <c r="D129" s="271">
        <v>44531</v>
      </c>
    </row>
    <row r="130" spans="1:8" x14ac:dyDescent="0.2">
      <c r="A130" s="227" t="s">
        <v>179</v>
      </c>
      <c r="B130" s="317">
        <v>0</v>
      </c>
      <c r="D130" s="271">
        <v>44531</v>
      </c>
    </row>
    <row r="131" spans="1:8" x14ac:dyDescent="0.2">
      <c r="A131" s="227" t="s">
        <v>180</v>
      </c>
      <c r="B131" s="317">
        <v>0</v>
      </c>
      <c r="D131" s="271">
        <v>44531</v>
      </c>
    </row>
    <row r="132" spans="1:8" x14ac:dyDescent="0.2">
      <c r="A132" s="227" t="s">
        <v>181</v>
      </c>
      <c r="B132" s="317">
        <v>0</v>
      </c>
      <c r="D132" s="271">
        <v>44531</v>
      </c>
    </row>
    <row r="133" spans="1:8" x14ac:dyDescent="0.2">
      <c r="A133" s="227" t="s">
        <v>182</v>
      </c>
      <c r="B133" s="317">
        <v>0</v>
      </c>
      <c r="D133" s="271">
        <v>44531</v>
      </c>
    </row>
    <row r="135" spans="1:8" x14ac:dyDescent="0.2">
      <c r="A135" s="25" t="s">
        <v>241</v>
      </c>
      <c r="D135" s="271"/>
    </row>
    <row r="136" spans="1:8" x14ac:dyDescent="0.2">
      <c r="A136" s="227" t="s">
        <v>153</v>
      </c>
      <c r="B136" s="317">
        <v>0</v>
      </c>
      <c r="C136" s="317"/>
      <c r="D136" s="271">
        <v>44531</v>
      </c>
    </row>
    <row r="137" spans="1:8" x14ac:dyDescent="0.2">
      <c r="A137" s="227" t="s">
        <v>154</v>
      </c>
      <c r="B137" s="317">
        <v>0</v>
      </c>
      <c r="C137" s="317"/>
      <c r="D137" s="271">
        <v>44531</v>
      </c>
    </row>
    <row r="139" spans="1:8" x14ac:dyDescent="0.2">
      <c r="A139" s="25" t="s">
        <v>243</v>
      </c>
      <c r="D139" s="276" t="s">
        <v>244</v>
      </c>
    </row>
    <row r="141" spans="1:8" x14ac:dyDescent="0.2">
      <c r="A141" s="25" t="s">
        <v>318</v>
      </c>
      <c r="B141" s="445">
        <v>10</v>
      </c>
      <c r="C141" s="446">
        <v>3.7427700000000001E-2</v>
      </c>
      <c r="D141" s="446">
        <v>1.5787499999999999E-2</v>
      </c>
      <c r="E141" s="445"/>
      <c r="F141" s="445">
        <v>0</v>
      </c>
      <c r="G141" s="445">
        <v>0</v>
      </c>
      <c r="H141" s="315">
        <v>45444</v>
      </c>
    </row>
    <row r="143" spans="1:8" x14ac:dyDescent="0.2">
      <c r="A143" s="25" t="s">
        <v>319</v>
      </c>
      <c r="B143" s="447">
        <v>9.4</v>
      </c>
      <c r="C143" s="448">
        <v>2.0634799999999998E-2</v>
      </c>
      <c r="D143" s="445">
        <v>0</v>
      </c>
      <c r="E143" s="445">
        <v>0</v>
      </c>
      <c r="F143" s="445">
        <v>0</v>
      </c>
      <c r="G143" s="447">
        <v>0</v>
      </c>
      <c r="H143" s="315">
        <v>45444</v>
      </c>
    </row>
    <row r="144" spans="1:8" x14ac:dyDescent="0.2">
      <c r="A144" s="25" t="s">
        <v>320</v>
      </c>
      <c r="B144" s="447">
        <v>138.5</v>
      </c>
      <c r="C144" s="448">
        <v>1.3832199999999999E-2</v>
      </c>
      <c r="D144" s="445">
        <v>0</v>
      </c>
      <c r="E144" s="445">
        <v>0</v>
      </c>
      <c r="F144" s="445">
        <v>0</v>
      </c>
      <c r="G144" s="447">
        <v>0</v>
      </c>
      <c r="H144" s="315">
        <v>45444</v>
      </c>
    </row>
    <row r="145" spans="1:8" x14ac:dyDescent="0.2">
      <c r="A145" s="25" t="s">
        <v>321</v>
      </c>
      <c r="B145" s="447">
        <v>825</v>
      </c>
      <c r="C145" s="448">
        <v>5.9799999999999997E-5</v>
      </c>
      <c r="D145" s="445">
        <v>0</v>
      </c>
      <c r="E145" s="445">
        <v>0</v>
      </c>
      <c r="F145" s="445">
        <v>0</v>
      </c>
      <c r="G145" s="447">
        <v>0</v>
      </c>
      <c r="H145" s="315">
        <v>45444</v>
      </c>
    </row>
    <row r="146" spans="1:8" x14ac:dyDescent="0.2">
      <c r="A146" s="25" t="s">
        <v>322</v>
      </c>
      <c r="B146" s="447">
        <v>3600</v>
      </c>
      <c r="C146" s="448">
        <v>5.9799999999999997E-5</v>
      </c>
      <c r="D146" s="445">
        <v>0</v>
      </c>
      <c r="E146" s="445">
        <v>0</v>
      </c>
      <c r="F146" s="445">
        <v>0</v>
      </c>
      <c r="G146" s="447">
        <v>0</v>
      </c>
      <c r="H146" s="315">
        <v>45444</v>
      </c>
    </row>
  </sheetData>
  <sheetProtection algorithmName="SHA-512" hashValue="rPereW7pZTVbfmxOruyZeFjNbJhS/oLLrO0afIDqvJD4KDZq+M7oIu929DWKaFHBaTmdVawo2Eclg6KWiHR/NQ==" saltValue="+yG33/z7NCTZ2Y344hIc6w=="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519" t="s">
        <v>36</v>
      </c>
      <c r="B2" s="519"/>
      <c r="C2" s="519"/>
      <c r="D2" s="519"/>
      <c r="E2" s="519"/>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73" t="b">
        <v>1</v>
      </c>
      <c r="G4" s="48" t="s">
        <v>38</v>
      </c>
    </row>
    <row r="5" spans="1:7" x14ac:dyDescent="0.2">
      <c r="A5" s="66" t="s">
        <v>61</v>
      </c>
      <c r="B5" s="514">
        <v>2001</v>
      </c>
      <c r="C5" s="68">
        <v>7.7130000000000005E-4</v>
      </c>
      <c r="D5" s="67" t="s">
        <v>60</v>
      </c>
      <c r="E5" s="520" t="b">
        <v>1</v>
      </c>
      <c r="G5" s="56"/>
    </row>
    <row r="6" spans="1:7" x14ac:dyDescent="0.2">
      <c r="A6" s="66" t="s">
        <v>62</v>
      </c>
      <c r="B6" s="516"/>
      <c r="C6" s="68">
        <v>1.83E-4</v>
      </c>
      <c r="D6" s="67" t="s">
        <v>60</v>
      </c>
      <c r="E6" s="522"/>
      <c r="G6" s="56"/>
    </row>
    <row r="7" spans="1:7" x14ac:dyDescent="0.2">
      <c r="A7" s="10" t="s">
        <v>4</v>
      </c>
      <c r="B7" s="5">
        <v>2001</v>
      </c>
      <c r="C7" s="47">
        <v>1.0758E-4</v>
      </c>
      <c r="D7" s="5" t="s">
        <v>60</v>
      </c>
      <c r="E7" s="61" t="b">
        <v>1</v>
      </c>
      <c r="G7" s="56"/>
    </row>
    <row r="8" spans="1:7" ht="12.75" customHeight="1" x14ac:dyDescent="0.2">
      <c r="A8" s="69" t="s">
        <v>47</v>
      </c>
      <c r="B8" s="514">
        <v>2001</v>
      </c>
      <c r="C8" s="70">
        <v>4.6499999999999996E-3</v>
      </c>
      <c r="D8" s="514" t="s">
        <v>60</v>
      </c>
      <c r="E8" s="520" t="b">
        <v>1</v>
      </c>
      <c r="G8" s="513" t="s">
        <v>38</v>
      </c>
    </row>
    <row r="9" spans="1:7" x14ac:dyDescent="0.2">
      <c r="A9" s="69" t="s">
        <v>48</v>
      </c>
      <c r="B9" s="515"/>
      <c r="C9" s="70">
        <v>4.1900000000000001E-3</v>
      </c>
      <c r="D9" s="515"/>
      <c r="E9" s="521" t="b">
        <v>0</v>
      </c>
      <c r="G9" s="513"/>
    </row>
    <row r="10" spans="1:7" x14ac:dyDescent="0.2">
      <c r="A10" s="69" t="s">
        <v>49</v>
      </c>
      <c r="B10" s="516"/>
      <c r="C10" s="70">
        <v>3.63E-3</v>
      </c>
      <c r="D10" s="516"/>
      <c r="E10" s="522"/>
      <c r="G10" s="513"/>
    </row>
    <row r="11" spans="1:7" x14ac:dyDescent="0.2">
      <c r="A11" s="10" t="s">
        <v>13</v>
      </c>
      <c r="B11" s="5">
        <v>2002</v>
      </c>
      <c r="C11" s="6">
        <v>4.3600000000000003E-5</v>
      </c>
      <c r="D11" s="5" t="s">
        <v>60</v>
      </c>
      <c r="E11" s="61" t="b">
        <v>1</v>
      </c>
    </row>
    <row r="12" spans="1:7" x14ac:dyDescent="0.2">
      <c r="A12" s="69" t="s">
        <v>14</v>
      </c>
      <c r="B12" s="71">
        <v>2002</v>
      </c>
      <c r="C12" s="70">
        <v>1.2520000000000001E-4</v>
      </c>
      <c r="D12" s="71" t="s">
        <v>60</v>
      </c>
      <c r="E12" s="72" t="b">
        <v>1</v>
      </c>
    </row>
    <row r="13" spans="1:7" x14ac:dyDescent="0.2">
      <c r="A13" s="10" t="s">
        <v>16</v>
      </c>
      <c r="B13" s="5">
        <v>2002</v>
      </c>
      <c r="C13" s="6">
        <v>3.369E-4</v>
      </c>
      <c r="D13" s="5" t="s">
        <v>60</v>
      </c>
      <c r="E13" s="61" t="b">
        <v>1</v>
      </c>
    </row>
    <row r="14" spans="1:7" x14ac:dyDescent="0.2">
      <c r="A14" s="69" t="s">
        <v>17</v>
      </c>
      <c r="B14" s="71">
        <v>2002</v>
      </c>
      <c r="C14" s="70">
        <v>9.6730000000000004E-4</v>
      </c>
      <c r="D14" s="71" t="s">
        <v>60</v>
      </c>
      <c r="E14" s="72" t="b">
        <v>1</v>
      </c>
    </row>
    <row r="15" spans="1:7" x14ac:dyDescent="0.2">
      <c r="A15" s="10" t="s">
        <v>63</v>
      </c>
      <c r="B15" s="5">
        <v>2001</v>
      </c>
      <c r="C15" s="6">
        <v>6.3080000000000005E-4</v>
      </c>
      <c r="D15" s="5" t="s">
        <v>60</v>
      </c>
      <c r="E15" s="61" t="b">
        <v>1</v>
      </c>
    </row>
    <row r="16" spans="1:7" x14ac:dyDescent="0.2">
      <c r="A16" s="69" t="s">
        <v>9</v>
      </c>
      <c r="B16" s="71">
        <v>2001</v>
      </c>
      <c r="C16" s="70">
        <v>5.5290000000000005E-4</v>
      </c>
      <c r="D16" s="71" t="s">
        <v>60</v>
      </c>
      <c r="E16" s="72" t="b">
        <v>1</v>
      </c>
    </row>
    <row r="17" spans="1:5" x14ac:dyDescent="0.2">
      <c r="A17" s="10" t="s">
        <v>10</v>
      </c>
      <c r="B17" s="5">
        <v>2001</v>
      </c>
      <c r="C17" s="6">
        <v>5.6780000000000003E-4</v>
      </c>
      <c r="D17" s="5" t="s">
        <v>60</v>
      </c>
      <c r="E17" s="61" t="b">
        <v>1</v>
      </c>
    </row>
    <row r="18" spans="1:5" x14ac:dyDescent="0.2">
      <c r="A18" s="69" t="s">
        <v>11</v>
      </c>
      <c r="B18" s="71">
        <v>2001</v>
      </c>
      <c r="C18" s="70">
        <v>4.5619999999999998E-4</v>
      </c>
      <c r="D18" s="71" t="s">
        <v>60</v>
      </c>
      <c r="E18" s="72" t="b">
        <v>1</v>
      </c>
    </row>
    <row r="19" spans="1:5" x14ac:dyDescent="0.2">
      <c r="A19" s="10" t="s">
        <v>12</v>
      </c>
      <c r="B19" s="5">
        <v>2001</v>
      </c>
      <c r="C19" s="6">
        <v>3.9589999999999997E-4</v>
      </c>
      <c r="D19" s="5" t="s">
        <v>60</v>
      </c>
      <c r="E19" s="61" t="b">
        <v>1</v>
      </c>
    </row>
    <row r="20" spans="1:5" x14ac:dyDescent="0.2">
      <c r="A20" s="69" t="s">
        <v>18</v>
      </c>
      <c r="B20" s="71">
        <v>2001</v>
      </c>
      <c r="C20" s="70">
        <v>-1.5192999999999999E-3</v>
      </c>
      <c r="D20" s="71" t="s">
        <v>60</v>
      </c>
      <c r="E20" s="72" t="b">
        <v>1</v>
      </c>
    </row>
    <row r="21" spans="1:5" x14ac:dyDescent="0.2">
      <c r="A21" s="10" t="s">
        <v>19</v>
      </c>
      <c r="B21" s="5">
        <v>2001</v>
      </c>
      <c r="C21" s="6">
        <v>-1.3071000000000001E-3</v>
      </c>
      <c r="D21" s="5" t="s">
        <v>60</v>
      </c>
      <c r="E21" s="61" t="b">
        <v>1</v>
      </c>
    </row>
    <row r="22" spans="1:5" x14ac:dyDescent="0.2">
      <c r="A22" s="69" t="s">
        <v>20</v>
      </c>
      <c r="B22" s="71">
        <v>2001</v>
      </c>
      <c r="C22" s="70">
        <v>-1.3320000000000001E-3</v>
      </c>
      <c r="D22" s="71" t="s">
        <v>60</v>
      </c>
      <c r="E22" s="72" t="b">
        <v>1</v>
      </c>
    </row>
    <row r="23" spans="1:5" x14ac:dyDescent="0.2">
      <c r="A23" s="10" t="s">
        <v>21</v>
      </c>
      <c r="B23" s="5">
        <v>2001</v>
      </c>
      <c r="C23" s="6">
        <v>-1.0334999999999999E-3</v>
      </c>
      <c r="D23" s="5" t="s">
        <v>60</v>
      </c>
      <c r="E23" s="61" t="b">
        <v>1</v>
      </c>
    </row>
    <row r="24" spans="1:5" x14ac:dyDescent="0.2">
      <c r="A24" s="69" t="s">
        <v>22</v>
      </c>
      <c r="B24" s="71">
        <v>2001</v>
      </c>
      <c r="C24" s="70">
        <v>-8.7730000000000002E-4</v>
      </c>
      <c r="D24" s="71" t="s">
        <v>60</v>
      </c>
      <c r="E24" s="72" t="b">
        <v>1</v>
      </c>
    </row>
    <row r="25" spans="1:5" x14ac:dyDescent="0.2">
      <c r="A25" s="10" t="s">
        <v>40</v>
      </c>
      <c r="B25" s="5">
        <v>2001</v>
      </c>
      <c r="C25" s="6">
        <v>-2.5000000000000001E-3</v>
      </c>
      <c r="D25" s="5" t="s">
        <v>60</v>
      </c>
      <c r="E25" s="61" t="b">
        <v>1</v>
      </c>
    </row>
    <row r="26" spans="1:5" x14ac:dyDescent="0.2">
      <c r="A26" s="48" t="s">
        <v>39</v>
      </c>
      <c r="C26" s="19"/>
      <c r="D26" s="20"/>
      <c r="E26" s="21"/>
    </row>
    <row r="27" spans="1:5" ht="101.25" customHeight="1" x14ac:dyDescent="0.2">
      <c r="A27" s="518"/>
      <c r="B27" s="518"/>
      <c r="C27" s="518"/>
      <c r="D27" s="518"/>
      <c r="E27" s="518"/>
    </row>
    <row r="28" spans="1:5" ht="78" customHeight="1" x14ac:dyDescent="0.2">
      <c r="A28" s="518"/>
      <c r="B28" s="518"/>
      <c r="C28" s="518"/>
      <c r="D28" s="518"/>
      <c r="E28" s="518"/>
    </row>
    <row r="29" spans="1:5" ht="46.5" customHeight="1" x14ac:dyDescent="0.2">
      <c r="A29" s="518"/>
      <c r="B29" s="518"/>
      <c r="C29" s="518"/>
      <c r="D29" s="518"/>
      <c r="E29" s="518"/>
    </row>
    <row r="30" spans="1:5" ht="32.25" customHeight="1" x14ac:dyDescent="0.2">
      <c r="A30" s="517"/>
      <c r="B30" s="517"/>
      <c r="C30" s="517"/>
      <c r="D30" s="517"/>
      <c r="E30" s="517"/>
    </row>
    <row r="31" spans="1:5" ht="79.5" customHeight="1" x14ac:dyDescent="0.2">
      <c r="A31" s="518"/>
      <c r="B31" s="518"/>
      <c r="C31" s="518"/>
      <c r="D31" s="518"/>
      <c r="E31" s="518"/>
    </row>
    <row r="32" spans="1:5" ht="39" customHeight="1" x14ac:dyDescent="0.2">
      <c r="A32" s="517"/>
      <c r="B32" s="518"/>
      <c r="C32" s="518"/>
      <c r="D32" s="518"/>
      <c r="E32" s="518"/>
    </row>
    <row r="33" spans="1:5" ht="38.25" customHeight="1" x14ac:dyDescent="0.2">
      <c r="A33" s="517"/>
      <c r="B33" s="518"/>
      <c r="C33" s="518"/>
      <c r="D33" s="518"/>
      <c r="E33" s="518"/>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22" zoomScale="80" zoomScaleNormal="80" workbookViewId="0">
      <selection activeCell="D37" sqref="D37"/>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c r="Q1" s="203"/>
    </row>
    <row r="2" spans="1:30" ht="20.25" x14ac:dyDescent="0.3">
      <c r="A2" s="496" t="s">
        <v>245</v>
      </c>
      <c r="B2" s="496"/>
      <c r="C2" s="496"/>
      <c r="D2" s="496"/>
      <c r="E2" s="496"/>
      <c r="F2" s="496"/>
      <c r="G2" s="496"/>
      <c r="H2" s="496"/>
      <c r="I2" s="496"/>
      <c r="J2" s="496"/>
      <c r="K2" s="496"/>
      <c r="L2" s="496"/>
      <c r="M2" s="496"/>
      <c r="N2" s="496"/>
      <c r="O2" s="496"/>
      <c r="P2" s="496"/>
      <c r="Q2" s="197"/>
    </row>
    <row r="3" spans="1:30" ht="18" x14ac:dyDescent="0.25">
      <c r="A3" s="481" t="s">
        <v>95</v>
      </c>
      <c r="B3" s="481"/>
      <c r="C3" s="481"/>
      <c r="D3" s="481"/>
      <c r="E3" s="481"/>
      <c r="F3" s="481"/>
      <c r="G3" s="481"/>
      <c r="H3" s="481"/>
      <c r="I3" s="481"/>
      <c r="J3" s="481"/>
      <c r="K3" s="481"/>
      <c r="L3" s="481"/>
      <c r="M3" s="481"/>
      <c r="N3" s="481"/>
      <c r="O3" s="481"/>
      <c r="P3" s="481"/>
      <c r="Q3" s="198"/>
    </row>
    <row r="4" spans="1:30" ht="15.75" x14ac:dyDescent="0.25">
      <c r="A4" s="481"/>
      <c r="B4" s="481"/>
      <c r="C4" s="481"/>
      <c r="D4" s="481"/>
      <c r="E4" s="481"/>
      <c r="F4" s="481"/>
      <c r="G4" s="481"/>
      <c r="H4" s="481"/>
      <c r="I4" s="481"/>
      <c r="J4" s="481"/>
      <c r="K4" s="481"/>
      <c r="L4" s="481"/>
      <c r="M4" s="481"/>
      <c r="N4" s="481"/>
      <c r="O4" s="481"/>
      <c r="P4" s="481"/>
      <c r="Q4" s="199"/>
    </row>
    <row r="5" spans="1:30" x14ac:dyDescent="0.2">
      <c r="A5" s="76">
        <f ca="1">TODAY()</f>
        <v>45806</v>
      </c>
      <c r="B5" s="488" t="s">
        <v>247</v>
      </c>
      <c r="C5" s="488"/>
      <c r="D5" s="488"/>
      <c r="E5" s="488"/>
      <c r="F5" s="488"/>
      <c r="G5" s="488"/>
      <c r="H5" s="488"/>
      <c r="I5" s="488"/>
      <c r="J5" s="488"/>
      <c r="K5" s="488"/>
      <c r="L5" s="488"/>
      <c r="M5" s="488"/>
      <c r="N5" s="488"/>
      <c r="O5" s="488"/>
    </row>
    <row r="6" spans="1:30" x14ac:dyDescent="0.2">
      <c r="A6" s="479" t="s">
        <v>15</v>
      </c>
      <c r="B6" s="479"/>
      <c r="C6" s="479"/>
      <c r="D6" s="479"/>
      <c r="E6" s="479"/>
      <c r="F6" s="479"/>
      <c r="G6" s="479"/>
      <c r="H6" s="479"/>
      <c r="I6" s="479"/>
      <c r="J6" s="479"/>
      <c r="K6" s="479"/>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6</v>
      </c>
      <c r="C10" s="194" t="str">
        <f>LOOKUP(B10,S11:AD11,S12:AD12)</f>
        <v>June</v>
      </c>
      <c r="D10" s="133">
        <f>'Customer Info'!C9</f>
        <v>2025</v>
      </c>
    </row>
    <row r="11" spans="1:30" x14ac:dyDescent="0.2">
      <c r="A11" s="494"/>
      <c r="B11" s="494"/>
      <c r="C11" s="494"/>
      <c r="D11" s="494"/>
      <c r="E11" s="494"/>
      <c r="F11" s="494"/>
      <c r="G11" s="494"/>
      <c r="H11" s="494"/>
      <c r="I11" s="494"/>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0" t="s">
        <v>68</v>
      </c>
      <c r="H17" s="491"/>
      <c r="I17" s="491"/>
      <c r="J17" s="492"/>
      <c r="K17" s="22"/>
      <c r="L17" s="493" t="s">
        <v>69</v>
      </c>
      <c r="M17" s="493"/>
      <c r="N17" s="493"/>
      <c r="O17" s="493"/>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5" si="0">SUM(G25:I25)</f>
        <v>4.6278999999999999E-3</v>
      </c>
      <c r="K25" s="104" t="s">
        <v>42</v>
      </c>
      <c r="L25" s="105"/>
      <c r="M25" s="105"/>
      <c r="N25" s="105">
        <f t="shared" ref="N25:N30" si="1">ROUND(D25*I25,2)</f>
        <v>0</v>
      </c>
      <c r="O25" s="105">
        <f t="shared" ref="O25:O30"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ref="O31:O37"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192</v>
      </c>
      <c r="B33" s="78"/>
      <c r="C33" s="78"/>
      <c r="D33" s="100">
        <f>'Customer Info'!$B$21+'Customer Info'!$B$22-'Customer Info'!$B$23</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161</v>
      </c>
      <c r="B34" s="78"/>
      <c r="C34" s="78"/>
      <c r="D34" s="100">
        <f>'Customer Info'!$B$21+'Customer Info'!$B$22-'Customer Info'!$B$23</f>
        <v>0</v>
      </c>
      <c r="E34" s="101" t="s">
        <v>41</v>
      </c>
      <c r="F34" s="102" t="s">
        <v>8</v>
      </c>
      <c r="G34" s="103">
        <f>'Rider Rates'!$B$28</f>
        <v>2.298E-2</v>
      </c>
      <c r="H34" s="103"/>
      <c r="I34" s="103"/>
      <c r="J34" s="237">
        <f>SUM(G34:H34)</f>
        <v>2.298E-2</v>
      </c>
      <c r="K34" s="104" t="s">
        <v>42</v>
      </c>
      <c r="L34" s="105">
        <f>ROUND(D34*G34,2)</f>
        <v>0</v>
      </c>
      <c r="M34" s="105"/>
      <c r="N34" s="105"/>
      <c r="O34" s="105">
        <f t="shared" si="3"/>
        <v>0</v>
      </c>
      <c r="P34" s="245">
        <f>'Rider Rates'!$D$28</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193</v>
      </c>
      <c r="B35" s="78"/>
      <c r="C35" s="78"/>
      <c r="D35" s="100">
        <f>'Customer Info'!$B$21+'Customer Info'!$B$22-'Customer Info'!$B$23</f>
        <v>0</v>
      </c>
      <c r="E35" s="101" t="s">
        <v>41</v>
      </c>
      <c r="F35" s="102" t="s">
        <v>8</v>
      </c>
      <c r="G35" s="103">
        <f>'Rider Rates'!B45</f>
        <v>-4.1073000000000004E-3</v>
      </c>
      <c r="H35" s="103"/>
      <c r="I35" s="103"/>
      <c r="J35" s="237">
        <f>SUM(G35:H35)</f>
        <v>-4.1073000000000004E-3</v>
      </c>
      <c r="K35" s="104" t="s">
        <v>42</v>
      </c>
      <c r="L35" s="105">
        <f>ROUND(D35*G35,2)</f>
        <v>0</v>
      </c>
      <c r="M35" s="105"/>
      <c r="N35" s="105"/>
      <c r="O35" s="105">
        <f>SUM(L35:N35)</f>
        <v>0</v>
      </c>
      <c r="P35" s="245">
        <f>'Rider Rates'!$D$45</f>
        <v>45747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210</v>
      </c>
      <c r="B36" s="78"/>
      <c r="C36" s="78"/>
      <c r="D36" s="100"/>
      <c r="E36" s="101" t="s">
        <v>115</v>
      </c>
      <c r="F36" s="102"/>
      <c r="G36" s="103"/>
      <c r="H36" s="103"/>
      <c r="I36" s="103">
        <f>'Rider Rates'!D48</f>
        <v>1.17</v>
      </c>
      <c r="J36" s="103">
        <f>SUM(G36:I36)</f>
        <v>1.17</v>
      </c>
      <c r="K36" s="104" t="s">
        <v>42</v>
      </c>
      <c r="L36" s="105"/>
      <c r="M36" s="105"/>
      <c r="N36" s="105">
        <f>J36</f>
        <v>1.17</v>
      </c>
      <c r="O36" s="105">
        <f>SUM(L36:N36)</f>
        <v>1.17</v>
      </c>
      <c r="P36" s="245">
        <f>'Rider Rates'!E48</f>
        <v>45658</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189</v>
      </c>
      <c r="B37" s="78"/>
      <c r="C37" s="78"/>
      <c r="D37" s="100">
        <f>IF($C$14&lt;0,0,$C$14)</f>
        <v>0</v>
      </c>
      <c r="E37" s="113" t="s">
        <v>41</v>
      </c>
      <c r="F37" s="102" t="s">
        <v>8</v>
      </c>
      <c r="G37" s="103"/>
      <c r="H37" s="103">
        <f>'Rider Rates'!$B$55</f>
        <v>3.5317099999999997E-2</v>
      </c>
      <c r="I37" s="103"/>
      <c r="J37" s="103">
        <f>SUM(G37:I37)</f>
        <v>3.5317099999999997E-2</v>
      </c>
      <c r="K37" s="104" t="s">
        <v>42</v>
      </c>
      <c r="L37" s="105"/>
      <c r="M37" s="105">
        <f>ROUND(D37*H37,2)</f>
        <v>0</v>
      </c>
      <c r="N37" s="205"/>
      <c r="O37" s="105">
        <f t="shared" si="3"/>
        <v>0</v>
      </c>
      <c r="P37" s="245">
        <f>'Rider Rates'!$D$55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337</v>
      </c>
      <c r="B38" s="78"/>
      <c r="C38" s="78"/>
      <c r="D38" s="100">
        <f>IF($C$14&lt;0,0,$C$14)</f>
        <v>0</v>
      </c>
      <c r="E38" s="101" t="s">
        <v>41</v>
      </c>
      <c r="F38" s="102" t="s">
        <v>8</v>
      </c>
      <c r="G38" s="103"/>
      <c r="H38" s="103"/>
      <c r="I38" s="103">
        <f>'Rider Rates'!$B$66</f>
        <v>7.3870000000000001E-4</v>
      </c>
      <c r="J38" s="103">
        <f t="shared" ref="J38" si="4">SUM(G38:I38)</f>
        <v>7.3870000000000001E-4</v>
      </c>
      <c r="K38" s="104" t="s">
        <v>42</v>
      </c>
      <c r="L38" s="105"/>
      <c r="M38" s="105"/>
      <c r="N38" s="105">
        <f>ROUND($D$38*'Rider Rates'!$B$66,2)</f>
        <v>0</v>
      </c>
      <c r="O38" s="105">
        <f>SUM(L38:N38)</f>
        <v>0</v>
      </c>
      <c r="P38" s="245">
        <f>'Rider Rates'!$D$66</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Info'!C34=TRUE,0,IF($C$14&lt;0,0,$C$14))</f>
        <v>0</v>
      </c>
      <c r="E39" s="101" t="s">
        <v>41</v>
      </c>
      <c r="F39" s="102" t="s">
        <v>8</v>
      </c>
      <c r="G39" s="103"/>
      <c r="H39" s="103"/>
      <c r="I39" s="103">
        <f>'Rider Rates'!$B$69+'Rider Rates'!$C$69</f>
        <v>0</v>
      </c>
      <c r="J39" s="103">
        <f t="shared" si="0"/>
        <v>0</v>
      </c>
      <c r="K39" s="104" t="s">
        <v>42</v>
      </c>
      <c r="L39" s="105"/>
      <c r="M39" s="105"/>
      <c r="N39" s="105">
        <f>ROUND($D$39*'Rider Rates'!$B$69,2)+ROUND($D$39*'Rider Rates'!$C$69,2)</f>
        <v>0</v>
      </c>
      <c r="O39" s="105">
        <f>SUM(L39:N39)</f>
        <v>0</v>
      </c>
      <c r="P39" s="245">
        <f>'Rider Rates'!$D$69</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10</v>
      </c>
      <c r="E40" s="101" t="s">
        <v>122</v>
      </c>
      <c r="F40" s="102" t="s">
        <v>8</v>
      </c>
      <c r="G40" s="111"/>
      <c r="H40" s="112"/>
      <c r="I40" s="120">
        <f>'Rider Rates'!$B$85</f>
        <v>1.9512100000000001E-2</v>
      </c>
      <c r="J40" s="120">
        <f t="shared" si="0"/>
        <v>1.9512100000000001E-2</v>
      </c>
      <c r="K40" s="104"/>
      <c r="L40" s="105"/>
      <c r="M40" s="105"/>
      <c r="N40" s="105">
        <f>ROUND(D40*I40,2)</f>
        <v>0.2</v>
      </c>
      <c r="O40" s="105">
        <f>SUM(L40:N40)</f>
        <v>0.2</v>
      </c>
      <c r="P40" s="245">
        <f>'Rider Rates'!$D$85</f>
        <v>45747</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82</v>
      </c>
      <c r="B41" s="78"/>
      <c r="C41" s="78"/>
      <c r="D41" s="195">
        <f>$N$21</f>
        <v>10</v>
      </c>
      <c r="E41" s="101" t="s">
        <v>122</v>
      </c>
      <c r="F41" s="102" t="s">
        <v>8</v>
      </c>
      <c r="G41" s="114"/>
      <c r="H41" s="115"/>
      <c r="I41" s="120">
        <f>'Rider Rates'!$B$87</f>
        <v>6.6985699999999995E-2</v>
      </c>
      <c r="J41" s="120">
        <f t="shared" si="0"/>
        <v>6.6985699999999995E-2</v>
      </c>
      <c r="K41" s="104"/>
      <c r="L41" s="105"/>
      <c r="M41" s="105"/>
      <c r="N41" s="105">
        <f>ROUND(D41*I41,2)</f>
        <v>0.67</v>
      </c>
      <c r="O41" s="105">
        <f>SUM(L41:N41)</f>
        <v>0.67</v>
      </c>
      <c r="P41" s="245">
        <f>'Rider Rates'!$D$87</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206</v>
      </c>
      <c r="B42" s="78"/>
      <c r="C42" s="78"/>
      <c r="D42" s="195"/>
      <c r="E42" s="113" t="s">
        <v>115</v>
      </c>
      <c r="F42" s="106"/>
      <c r="G42" s="114"/>
      <c r="H42" s="115"/>
      <c r="I42" s="196">
        <f>'Rider Rates'!$B$90</f>
        <v>2.2200000000000002</v>
      </c>
      <c r="J42" s="196">
        <f t="shared" si="0"/>
        <v>2.2200000000000002</v>
      </c>
      <c r="K42" s="104"/>
      <c r="L42" s="105"/>
      <c r="M42" s="105"/>
      <c r="N42" s="105">
        <f>I42</f>
        <v>2.2200000000000002</v>
      </c>
      <c r="O42" s="105">
        <f>SUM(L42:N42)</f>
        <v>2.2200000000000002</v>
      </c>
      <c r="P42" s="245">
        <f>'Rider Rates'!$D$90</f>
        <v>45747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239</v>
      </c>
      <c r="B43" s="78"/>
      <c r="C43" s="78"/>
      <c r="D43" s="100">
        <f>IF($C$14&lt;0,0,$C$14)</f>
        <v>0</v>
      </c>
      <c r="E43" s="101" t="s">
        <v>41</v>
      </c>
      <c r="F43" s="102" t="s">
        <v>8</v>
      </c>
      <c r="G43" s="103"/>
      <c r="H43" s="103"/>
      <c r="I43" s="103"/>
      <c r="J43" s="103">
        <f>'Rider Rates'!$B$94</f>
        <v>0</v>
      </c>
      <c r="K43" s="104" t="s">
        <v>42</v>
      </c>
      <c r="L43" s="105"/>
      <c r="M43" s="105"/>
      <c r="N43" s="105"/>
      <c r="O43" s="105">
        <f>ROUND($D43*('Rider Rates'!B$94),2)</f>
        <v>0</v>
      </c>
      <c r="P43" s="245">
        <f>'Rider Rates'!$D$94</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10</v>
      </c>
      <c r="E44" s="101" t="s">
        <v>122</v>
      </c>
      <c r="F44" s="102" t="s">
        <v>8</v>
      </c>
      <c r="G44" s="114"/>
      <c r="H44" s="115"/>
      <c r="I44" s="120">
        <f>'Rider Rates'!$B$105</f>
        <v>0.24140039999999999</v>
      </c>
      <c r="J44" s="120">
        <f t="shared" si="0"/>
        <v>0.24140039999999999</v>
      </c>
      <c r="K44" s="104"/>
      <c r="L44" s="105"/>
      <c r="M44" s="105"/>
      <c r="N44" s="105">
        <f>ROUND(D44*I44,2)</f>
        <v>2.41</v>
      </c>
      <c r="O44" s="105">
        <f t="shared" ref="O44:O48" si="5">SUM(L44:N44)</f>
        <v>2.41</v>
      </c>
      <c r="P44" s="245">
        <f>'Rider Rates'!$D$105</f>
        <v>45716</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115</v>
      </c>
      <c r="F45" s="106"/>
      <c r="G45" s="114"/>
      <c r="H45" s="115"/>
      <c r="I45" s="258">
        <f>'Rider Rates'!B120</f>
        <v>0.97</v>
      </c>
      <c r="J45" s="196">
        <f t="shared" si="0"/>
        <v>0.97</v>
      </c>
      <c r="K45" s="104"/>
      <c r="L45" s="105"/>
      <c r="M45" s="105"/>
      <c r="N45" s="260">
        <f>I45</f>
        <v>0.97</v>
      </c>
      <c r="O45" s="105">
        <f t="shared" si="5"/>
        <v>0.97</v>
      </c>
      <c r="P45" s="245">
        <f>'Rider Rates'!D120</f>
        <v>45593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Info'!$B$22-'Customer Info'!$B$23</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5"/>
        <v>0</v>
      </c>
      <c r="P46" s="245">
        <f>'Rider Rates'!$D$112</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IF($C$14&lt;1,0,$C$14)</f>
        <v>0</v>
      </c>
      <c r="E47" s="101" t="s">
        <v>41</v>
      </c>
      <c r="F47" s="249" t="s">
        <v>8</v>
      </c>
      <c r="G47" s="103"/>
      <c r="H47" s="103"/>
      <c r="I47" s="237">
        <f>'Rider Rates'!$B$117</f>
        <v>0</v>
      </c>
      <c r="J47" s="237">
        <f>SUM(G47:I47)</f>
        <v>0</v>
      </c>
      <c r="K47" s="104" t="s">
        <v>42</v>
      </c>
      <c r="L47" s="105"/>
      <c r="M47" s="105"/>
      <c r="N47" s="105">
        <f>D47*J47</f>
        <v>0</v>
      </c>
      <c r="O47" s="105">
        <f t="shared" si="5"/>
        <v>0</v>
      </c>
      <c r="P47" s="245">
        <f>'Rider Rates'!D117</f>
        <v>45657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230</v>
      </c>
      <c r="B48" s="78"/>
      <c r="C48" s="78"/>
      <c r="D48" s="100"/>
      <c r="E48" s="101" t="s">
        <v>115</v>
      </c>
      <c r="F48" s="102" t="s">
        <v>8</v>
      </c>
      <c r="G48" s="263"/>
      <c r="H48" s="263"/>
      <c r="I48" s="263">
        <f>'Rider Rates'!$B$124</f>
        <v>0.1</v>
      </c>
      <c r="J48" s="263">
        <f>SUM(G48:I48)</f>
        <v>0.1</v>
      </c>
      <c r="K48" s="104"/>
      <c r="L48" s="209"/>
      <c r="M48" s="209"/>
      <c r="N48" s="209">
        <f>J48</f>
        <v>0.1</v>
      </c>
      <c r="O48" s="209">
        <f t="shared" si="5"/>
        <v>0.1</v>
      </c>
      <c r="P48" s="264">
        <f>'Rider Rates'!$E$124</f>
        <v>45658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242</v>
      </c>
      <c r="B49" s="78"/>
      <c r="C49" s="78"/>
      <c r="D49" s="100">
        <f>C14</f>
        <v>0</v>
      </c>
      <c r="E49" s="101" t="s">
        <v>41</v>
      </c>
      <c r="F49" s="249" t="s">
        <v>8</v>
      </c>
      <c r="G49" s="103"/>
      <c r="H49" s="103"/>
      <c r="I49" s="103">
        <f>'Rider Rates'!$B$129</f>
        <v>0</v>
      </c>
      <c r="J49" s="237">
        <f>SUM(G49:I49)</f>
        <v>0</v>
      </c>
      <c r="K49" s="104" t="s">
        <v>42</v>
      </c>
      <c r="L49" s="105"/>
      <c r="M49" s="105"/>
      <c r="N49" s="105">
        <f>D49*J49</f>
        <v>0</v>
      </c>
      <c r="O49" s="105">
        <f>SUM(L49:N49)</f>
        <v>0</v>
      </c>
      <c r="P49" s="245">
        <f>'Rider Rates'!D129</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241</v>
      </c>
      <c r="B50" s="78"/>
      <c r="C50" s="78"/>
      <c r="D50" s="100"/>
      <c r="E50" s="101" t="s">
        <v>115</v>
      </c>
      <c r="F50" s="102" t="s">
        <v>8</v>
      </c>
      <c r="G50" s="263"/>
      <c r="H50" s="263"/>
      <c r="I50" s="263">
        <f>'Rider Rates'!$B$136</f>
        <v>0</v>
      </c>
      <c r="J50" s="263">
        <f>SUM(G50:I50)</f>
        <v>0</v>
      </c>
      <c r="K50" s="104"/>
      <c r="L50" s="209"/>
      <c r="M50" s="209"/>
      <c r="N50" s="209">
        <f>J50</f>
        <v>0</v>
      </c>
      <c r="O50" s="209">
        <f>SUM(L50:N50)</f>
        <v>0</v>
      </c>
      <c r="P50" s="264">
        <f>'Rider Rates'!$D$132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243</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79" t="s">
        <v>71</v>
      </c>
      <c r="B52" s="148"/>
      <c r="C52" s="148"/>
      <c r="D52" s="180"/>
      <c r="E52" s="181"/>
      <c r="F52" s="182"/>
      <c r="G52" s="182"/>
      <c r="H52" s="182"/>
      <c r="I52" s="182"/>
      <c r="J52" s="182"/>
      <c r="K52" s="183"/>
      <c r="L52" s="169">
        <f>SUM(L25:L51)</f>
        <v>0</v>
      </c>
      <c r="M52" s="169">
        <f t="shared" ref="M52:O52" si="6">SUM(M25:M51)</f>
        <v>0</v>
      </c>
      <c r="N52" s="169">
        <f t="shared" si="6"/>
        <v>7.7399999999999993</v>
      </c>
      <c r="O52" s="169">
        <f t="shared" si="6"/>
        <v>7.7399999999999993</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0"/>
      <c r="B54" s="170"/>
      <c r="C54" s="170"/>
      <c r="D54" s="170"/>
      <c r="E54" s="170"/>
      <c r="F54" s="170"/>
      <c r="G54" s="170"/>
      <c r="H54" s="170"/>
      <c r="I54" s="170"/>
      <c r="J54" s="170"/>
      <c r="K54" s="170"/>
      <c r="L54" s="186">
        <f>L21+L52</f>
        <v>0</v>
      </c>
      <c r="M54" s="186">
        <f>M21+M52</f>
        <v>0</v>
      </c>
      <c r="N54" s="186">
        <f>N21+N52</f>
        <v>17.739999999999998</v>
      </c>
      <c r="O54" s="187">
        <f>O21+O52</f>
        <v>17.739999999999998</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93</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117</v>
      </c>
      <c r="B58" s="151"/>
      <c r="C58" s="151"/>
      <c r="D58" s="151"/>
      <c r="E58" s="151"/>
      <c r="F58" s="151"/>
      <c r="G58" s="151"/>
      <c r="H58" s="151"/>
      <c r="I58" s="151"/>
      <c r="J58" s="151"/>
      <c r="K58" s="151"/>
      <c r="L58" s="151"/>
      <c r="M58" s="151"/>
      <c r="N58" s="151"/>
      <c r="O58" s="190">
        <f>IF($C$14&lt;0,O54,IF(O54&gt;O56,O54,I53))</f>
        <v>17.739999999999998</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66"/>
      <c r="C60" s="166"/>
      <c r="D60" s="166"/>
      <c r="E60" s="166"/>
      <c r="F60" s="166"/>
      <c r="G60" s="166"/>
      <c r="H60" s="166"/>
      <c r="I60" s="166" t="s">
        <v>121</v>
      </c>
      <c r="J60" s="166"/>
      <c r="K60" s="166"/>
      <c r="L60" s="191"/>
      <c r="M60" s="191"/>
      <c r="N60" s="191"/>
      <c r="O60" s="191">
        <f>ROUND(IF($C$14&lt;1,0,O54/($C$14*100)*10000),2)</f>
        <v>0</v>
      </c>
      <c r="P60" s="37" t="s">
        <v>87</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
      <c r="A61" s="78"/>
      <c r="B61" s="78"/>
      <c r="C61" s="78"/>
      <c r="D61" s="78"/>
      <c r="E61" s="78"/>
      <c r="F61" s="78"/>
      <c r="G61" s="78"/>
      <c r="H61" s="192"/>
      <c r="I61" s="242" t="s">
        <v>190</v>
      </c>
      <c r="J61" s="78"/>
      <c r="K61" s="78"/>
      <c r="L61" s="78"/>
      <c r="M61" s="78"/>
      <c r="N61" s="78"/>
      <c r="O61" s="243">
        <f>ROUND(IF($C$14&lt;1,0,(L54)/($C$14*100)*10000),2)</f>
        <v>0</v>
      </c>
      <c r="P61" s="25" t="s">
        <v>87</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
      <c r="A62" s="78"/>
    </row>
    <row r="63" spans="1:236" x14ac:dyDescent="0.2">
      <c r="A63" s="78"/>
    </row>
    <row r="64" spans="1:236" x14ac:dyDescent="0.2">
      <c r="A64" s="78"/>
    </row>
    <row r="65" spans="1:1" x14ac:dyDescent="0.2">
      <c r="A65" s="78"/>
    </row>
    <row r="66" spans="1:1" x14ac:dyDescent="0.2">
      <c r="A66" s="78"/>
    </row>
    <row r="67" spans="1:1" x14ac:dyDescent="0.2">
      <c r="A67" s="78"/>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7" zoomScale="80" zoomScaleNormal="80" workbookViewId="0">
      <selection activeCell="D43" sqref="D43"/>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0" t="s">
        <v>120</v>
      </c>
      <c r="B1" s="480"/>
      <c r="C1" s="480"/>
      <c r="D1" s="480"/>
      <c r="E1" s="480"/>
      <c r="F1" s="480"/>
      <c r="G1" s="480"/>
      <c r="H1" s="480"/>
      <c r="I1" s="480"/>
      <c r="J1" s="480"/>
      <c r="K1" s="480"/>
      <c r="L1" s="480"/>
      <c r="M1" s="480"/>
      <c r="N1" s="480"/>
      <c r="O1" s="480"/>
      <c r="P1" s="480"/>
      <c r="Q1" s="197"/>
    </row>
    <row r="2" spans="1:59" ht="20.25" x14ac:dyDescent="0.3">
      <c r="A2" s="480" t="s">
        <v>277</v>
      </c>
      <c r="B2" s="480"/>
      <c r="C2" s="480"/>
      <c r="D2" s="480"/>
      <c r="E2" s="480"/>
      <c r="F2" s="480"/>
      <c r="G2" s="480"/>
      <c r="H2" s="480"/>
      <c r="I2" s="480"/>
      <c r="J2" s="480"/>
      <c r="K2" s="480"/>
      <c r="L2" s="480"/>
      <c r="M2" s="480"/>
      <c r="N2" s="480"/>
      <c r="O2" s="480"/>
      <c r="P2" s="480"/>
    </row>
    <row r="3" spans="1:59" ht="18" x14ac:dyDescent="0.25">
      <c r="A3" s="496" t="s">
        <v>116</v>
      </c>
      <c r="B3" s="496"/>
      <c r="C3" s="496"/>
      <c r="D3" s="496"/>
      <c r="E3" s="496"/>
      <c r="F3" s="496"/>
      <c r="G3" s="496"/>
      <c r="H3" s="496"/>
      <c r="I3" s="496"/>
      <c r="J3" s="496"/>
      <c r="K3" s="496"/>
      <c r="L3" s="496"/>
      <c r="M3" s="496"/>
      <c r="N3" s="496"/>
      <c r="O3" s="496"/>
      <c r="P3" s="496"/>
      <c r="Q3" s="198"/>
    </row>
    <row r="4" spans="1:59"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45806</v>
      </c>
      <c r="B6" s="488" t="s">
        <v>220</v>
      </c>
      <c r="C6" s="488"/>
      <c r="D6" s="488"/>
      <c r="E6" s="488"/>
      <c r="F6" s="488"/>
      <c r="G6" s="488"/>
      <c r="H6" s="488"/>
      <c r="I6" s="488"/>
      <c r="J6" s="488"/>
      <c r="K6" s="488"/>
      <c r="L6" s="488"/>
      <c r="M6" s="488"/>
      <c r="N6" s="488"/>
      <c r="O6" s="488"/>
    </row>
    <row r="7" spans="1:59" x14ac:dyDescent="0.2">
      <c r="A7" s="479" t="s">
        <v>15</v>
      </c>
      <c r="B7" s="479"/>
      <c r="C7" s="479"/>
      <c r="D7" s="479"/>
      <c r="E7" s="479"/>
      <c r="F7" s="479"/>
      <c r="G7" s="479"/>
      <c r="H7" s="479"/>
      <c r="I7" s="479"/>
      <c r="J7" s="479"/>
      <c r="K7" s="479"/>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6</v>
      </c>
      <c r="C11" s="194" t="str">
        <f>LOOKUP($B$11,$S$11:$AD$11,S12:AD12)</f>
        <v>June</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t="s">
        <v>175</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139" t="s">
        <v>15</v>
      </c>
      <c r="H14" s="139"/>
      <c r="I14" s="152" t="s">
        <v>15</v>
      </c>
      <c r="J14" s="151"/>
      <c r="K14" s="151"/>
      <c r="L14" s="151"/>
      <c r="M14" s="151"/>
      <c r="N14" s="151"/>
      <c r="O14" s="151"/>
      <c r="P14" s="151"/>
      <c r="Q14" s="78"/>
      <c r="R14" s="78" t="s">
        <v>176</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187</v>
      </c>
      <c r="S15" s="78">
        <f>'Rider Rates'!$C$21</f>
        <v>7.6880000000000004E-2</v>
      </c>
      <c r="T15" s="78">
        <f>'Rider Rates'!$C$21</f>
        <v>7.6880000000000004E-2</v>
      </c>
      <c r="U15" s="78">
        <f>'Rider Rates'!$C$21</f>
        <v>7.6880000000000004E-2</v>
      </c>
      <c r="V15" s="78">
        <f>'Rider Rates'!$C$21</f>
        <v>7.6880000000000004E-2</v>
      </c>
      <c r="W15" s="78">
        <f>'Rider Rates'!$C$21</f>
        <v>7.6880000000000004E-2</v>
      </c>
      <c r="X15" s="78">
        <f>'Rider Rates'!$B$21</f>
        <v>7.6880000000000004E-2</v>
      </c>
      <c r="Y15" s="78">
        <f>'Rider Rates'!$B$21</f>
        <v>7.6880000000000004E-2</v>
      </c>
      <c r="Z15" s="78">
        <f>'Rider Rates'!$B$21</f>
        <v>7.6880000000000004E-2</v>
      </c>
      <c r="AA15" s="78">
        <f>'Rider Rates'!$B$21</f>
        <v>7.6880000000000004E-2</v>
      </c>
      <c r="AB15" s="78">
        <f>'Rider Rates'!$C$21</f>
        <v>7.6880000000000004E-2</v>
      </c>
      <c r="AC15" s="78">
        <f>'Rider Rates'!$C$21</f>
        <v>7.6880000000000004E-2</v>
      </c>
      <c r="AD15" s="78">
        <f>'Rider Rates'!$C$21</f>
        <v>7.6880000000000004E-2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221</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222</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38" si="0">SUM(G31:I31)</f>
        <v>4.6278999999999999E-3</v>
      </c>
      <c r="K31" s="104" t="s">
        <v>42</v>
      </c>
      <c r="L31" s="105"/>
      <c r="M31" s="105"/>
      <c r="N31" s="105">
        <f t="shared" ref="N31:N37" si="1">ROUND(D31*I31,2)</f>
        <v>0</v>
      </c>
      <c r="O31" s="250">
        <f t="shared" ref="O31:O54"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237</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f>
        <v>0</v>
      </c>
      <c r="E39" s="101" t="s">
        <v>41</v>
      </c>
      <c r="F39" s="102" t="s">
        <v>8</v>
      </c>
      <c r="G39" s="103">
        <f>'Rider Rates'!B21</f>
        <v>7.6880000000000004E-2</v>
      </c>
      <c r="H39" s="103"/>
      <c r="I39" s="103"/>
      <c r="J39" s="237">
        <f>SUM(G39:H39)</f>
        <v>7.6880000000000004E-2</v>
      </c>
      <c r="K39" s="104" t="s">
        <v>42</v>
      </c>
      <c r="L39" s="105">
        <f>ROUND(D39*G39,2)</f>
        <v>0</v>
      </c>
      <c r="M39" s="105"/>
      <c r="N39" s="105"/>
      <c r="O39" s="105">
        <f t="shared" si="2"/>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162</v>
      </c>
      <c r="B40" s="78"/>
      <c r="C40" s="78"/>
      <c r="D40" s="100">
        <f>D18</f>
        <v>0</v>
      </c>
      <c r="E40" s="101" t="s">
        <v>41</v>
      </c>
      <c r="F40" s="102" t="s">
        <v>8</v>
      </c>
      <c r="G40" s="103">
        <f>'Rider Rates'!B31</f>
        <v>0.19200049999999999</v>
      </c>
      <c r="H40" s="103"/>
      <c r="I40" s="103"/>
      <c r="J40" s="237">
        <f>SUM(G40:H40)</f>
        <v>0.19200049999999999</v>
      </c>
      <c r="K40" s="104" t="s">
        <v>42</v>
      </c>
      <c r="L40" s="239">
        <f>ROUND($D$40*$G$40,2)</f>
        <v>0</v>
      </c>
      <c r="M40" s="105"/>
      <c r="N40" s="105"/>
      <c r="O40" s="105">
        <f>SUM(L40:N40)</f>
        <v>0</v>
      </c>
      <c r="P40" s="245">
        <f>'Rider Rates'!D31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219</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f>
        <v>0</v>
      </c>
      <c r="E42" s="101" t="s">
        <v>41</v>
      </c>
      <c r="F42" s="102" t="s">
        <v>8</v>
      </c>
      <c r="G42" s="103">
        <f>'Rider Rates'!$B$45</f>
        <v>-4.1073000000000004E-3</v>
      </c>
      <c r="H42" s="103"/>
      <c r="I42" s="103"/>
      <c r="J42" s="237">
        <f>SUM(G42:H42)</f>
        <v>-4.1073000000000004E-3</v>
      </c>
      <c r="K42" s="104" t="s">
        <v>42</v>
      </c>
      <c r="L42" s="105">
        <f>ROUND(D42*G42,2)</f>
        <v>0</v>
      </c>
      <c r="M42" s="105"/>
      <c r="N42" s="105"/>
      <c r="O42" s="105">
        <f t="shared" si="2"/>
        <v>0</v>
      </c>
      <c r="P42" s="245">
        <f>'Rider Rates'!$D$45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1.17</v>
      </c>
      <c r="J43" s="237">
        <f t="shared" ref="J43:J49" si="3">SUM(G43:I43)</f>
        <v>1.17</v>
      </c>
      <c r="K43" s="104"/>
      <c r="L43" s="105"/>
      <c r="M43" s="105"/>
      <c r="N43" s="105">
        <f>J43</f>
        <v>1.17</v>
      </c>
      <c r="O43" s="105">
        <f>SUM(L43:N43)</f>
        <v>1.17</v>
      </c>
      <c r="P43" s="245">
        <f>'Rider Rates'!E48</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3.5317099999999997E-2</v>
      </c>
      <c r="I44" s="103"/>
      <c r="J44" s="103">
        <f t="shared" si="3"/>
        <v>3.5317099999999997E-2</v>
      </c>
      <c r="K44" s="104" t="s">
        <v>42</v>
      </c>
      <c r="L44" s="105"/>
      <c r="M44" s="105">
        <f>ROUND(D44*H44,2)</f>
        <v>0</v>
      </c>
      <c r="N44" s="205"/>
      <c r="O44" s="105">
        <f t="shared" si="2"/>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3"/>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$N$27</f>
        <v>10</v>
      </c>
      <c r="E47" s="101" t="s">
        <v>122</v>
      </c>
      <c r="F47" s="102" t="s">
        <v>8</v>
      </c>
      <c r="G47" s="111"/>
      <c r="H47" s="112"/>
      <c r="I47" s="120">
        <f>'Rider Rates'!$B$85</f>
        <v>1.9512100000000001E-2</v>
      </c>
      <c r="J47" s="120">
        <f t="shared" si="3"/>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$N$27</f>
        <v>10</v>
      </c>
      <c r="E48" s="101" t="s">
        <v>122</v>
      </c>
      <c r="F48" s="102" t="s">
        <v>8</v>
      </c>
      <c r="G48" s="114"/>
      <c r="H48" s="115"/>
      <c r="I48" s="120">
        <f>'Rider Rates'!$B$87</f>
        <v>6.6985699999999995E-2</v>
      </c>
      <c r="J48" s="120">
        <f t="shared" si="3"/>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2.2200000000000002</v>
      </c>
      <c r="J49" s="196">
        <f t="shared" si="3"/>
        <v>2.2200000000000002</v>
      </c>
      <c r="K49" s="104"/>
      <c r="L49" s="105"/>
      <c r="M49" s="105"/>
      <c r="N49" s="105">
        <f>I49</f>
        <v>2.2200000000000002</v>
      </c>
      <c r="O49" s="250">
        <f>SUM(L49:N49)</f>
        <v>2.2200000000000002</v>
      </c>
      <c r="P49" s="245">
        <f>'Rider Rates'!$D$90</f>
        <v>45747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$N$27</f>
        <v>10</v>
      </c>
      <c r="E51" s="101" t="s">
        <v>122</v>
      </c>
      <c r="F51" s="102" t="s">
        <v>8</v>
      </c>
      <c r="G51" s="114"/>
      <c r="H51" s="115"/>
      <c r="I51" s="120">
        <f>'Rider Rates'!$B$105</f>
        <v>0.24140039999999999</v>
      </c>
      <c r="J51" s="238">
        <f>SUM(G51:I51)</f>
        <v>0.24140039999999999</v>
      </c>
      <c r="K51" s="104"/>
      <c r="L51" s="105"/>
      <c r="M51" s="105"/>
      <c r="N51" s="105">
        <f>ROUND(D51*I51,2)</f>
        <v>2.41</v>
      </c>
      <c r="O51" s="105">
        <f t="shared" si="2"/>
        <v>2.41</v>
      </c>
      <c r="P51" s="245">
        <f>'Rider Rates'!$D$105</f>
        <v>45716</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0.1</v>
      </c>
      <c r="J55" s="263">
        <f>SUM(G55:I55)</f>
        <v>0.1</v>
      </c>
      <c r="K55" s="104"/>
      <c r="L55" s="209"/>
      <c r="M55" s="209"/>
      <c r="N55" s="209">
        <f>J55</f>
        <v>0.1</v>
      </c>
      <c r="O55" s="209">
        <f>SUM(L55:N55)</f>
        <v>0.1</v>
      </c>
      <c r="P55" s="264">
        <f>'Rider Rates'!$E$124</f>
        <v>45658</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C19</f>
        <v>0</v>
      </c>
      <c r="E56" s="101" t="s">
        <v>41</v>
      </c>
      <c r="F56" s="249" t="s">
        <v>8</v>
      </c>
      <c r="G56" s="103"/>
      <c r="H56" s="103"/>
      <c r="I56" s="103">
        <f>'Rider Rates'!$B$129</f>
        <v>0</v>
      </c>
      <c r="J56" s="237">
        <f>SUM(G56:I56)</f>
        <v>0</v>
      </c>
      <c r="K56" s="104" t="s">
        <v>42</v>
      </c>
      <c r="L56" s="105"/>
      <c r="M56" s="105"/>
      <c r="N56" s="105">
        <f>D56*J56</f>
        <v>0</v>
      </c>
      <c r="O56" s="105">
        <f>SUM(L56:N56)</f>
        <v>0</v>
      </c>
      <c r="P56" s="245">
        <f>'Rider Rates'!D134</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SUM(L31:L58)</f>
        <v>0</v>
      </c>
      <c r="M59" s="169">
        <f t="shared" ref="M59:O59" si="6">SUM(M31:M58)</f>
        <v>0</v>
      </c>
      <c r="N59" s="169">
        <f t="shared" si="6"/>
        <v>7.7399999999999993</v>
      </c>
      <c r="O59" s="169">
        <f t="shared" si="6"/>
        <v>7.7399999999999993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L27+L59</f>
        <v>0</v>
      </c>
      <c r="M61" s="186">
        <f>M27+M59</f>
        <v>0</v>
      </c>
      <c r="N61" s="186">
        <f>N27+N59</f>
        <v>17.739999999999998</v>
      </c>
      <c r="O61" s="187">
        <f>O27+O59</f>
        <v>17.739999999999998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17.739999999999998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291"/>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27" zoomScale="80" zoomScaleNormal="80" workbookViewId="0">
      <selection activeCell="D38" sqref="D38"/>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174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c r="L5" s="75"/>
      <c r="M5" s="75"/>
      <c r="N5" s="75"/>
      <c r="O5" s="75"/>
      <c r="P5" s="75"/>
    </row>
    <row r="6" spans="1:30" x14ac:dyDescent="0.2">
      <c r="A6" s="76">
        <f ca="1">TODAY()</f>
        <v>45806</v>
      </c>
      <c r="B6" s="206" t="s">
        <v>236</v>
      </c>
      <c r="C6" s="206"/>
      <c r="D6" s="206"/>
      <c r="E6" s="206"/>
      <c r="F6" s="206"/>
      <c r="G6" s="206"/>
      <c r="H6" s="206"/>
      <c r="I6" s="206"/>
      <c r="J6" s="206"/>
      <c r="K6" s="206"/>
      <c r="L6" s="206"/>
      <c r="M6" s="206"/>
      <c r="N6" s="206"/>
      <c r="O6" s="206"/>
    </row>
    <row r="7" spans="1:30" x14ac:dyDescent="0.2">
      <c r="A7" s="479" t="s">
        <v>15</v>
      </c>
      <c r="B7" s="479"/>
      <c r="C7" s="479"/>
      <c r="D7" s="479"/>
      <c r="E7" s="479"/>
      <c r="F7" s="479"/>
      <c r="G7" s="479"/>
      <c r="H7" s="479"/>
      <c r="I7" s="479"/>
      <c r="J7" s="479"/>
      <c r="K7" s="47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6</v>
      </c>
      <c r="C11" s="194" t="str">
        <f>LOOKUP(B11,R11:AD11,R12:AD12)</f>
        <v>June</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78" t="s">
        <v>168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8"/>
      <c r="B14" s="18"/>
      <c r="C14" s="18"/>
      <c r="D14" s="18"/>
      <c r="E14" s="18"/>
      <c r="F14" s="18"/>
      <c r="G14" s="18"/>
      <c r="H14" s="18"/>
      <c r="I14" s="18"/>
      <c r="R14" s="78" t="s">
        <v>169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43</v>
      </c>
      <c r="B15" s="31"/>
      <c r="C15" s="32">
        <f>IF('Customer Info'!B21+'Customer Info'!B22-'Customer Info'!B23&lt;0,0,'Customer Info'!B21+'Customer Info'!B22-'Customer Info'!B23)</f>
        <v>0</v>
      </c>
      <c r="D15" s="31" t="s">
        <v>41</v>
      </c>
      <c r="E15" s="31"/>
      <c r="F15" s="33"/>
      <c r="G15" s="31"/>
      <c r="H15" s="31"/>
      <c r="I15" s="31"/>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31"/>
      <c r="B16" s="31"/>
      <c r="C16" s="33"/>
      <c r="D16" s="33"/>
      <c r="E16" s="33"/>
      <c r="F16" s="33"/>
      <c r="G16" s="23"/>
      <c r="H16" s="31"/>
      <c r="I16" s="31"/>
    </row>
    <row r="17" spans="1:221" x14ac:dyDescent="0.2">
      <c r="A17" s="28" t="s">
        <v>124</v>
      </c>
      <c r="B17" s="22"/>
      <c r="C17" s="22"/>
      <c r="D17" s="22"/>
      <c r="E17" s="22"/>
      <c r="F17" s="22"/>
      <c r="G17" s="490" t="s">
        <v>68</v>
      </c>
      <c r="H17" s="491"/>
      <c r="I17" s="491"/>
      <c r="J17" s="492"/>
      <c r="K17" s="22"/>
      <c r="L17" s="493" t="s">
        <v>69</v>
      </c>
      <c r="M17" s="493"/>
      <c r="N17" s="493"/>
      <c r="O17" s="493"/>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10</v>
      </c>
      <c r="J19" s="125">
        <f>SUM(G19:I19)</f>
        <v>10</v>
      </c>
      <c r="L19" s="125"/>
      <c r="M19" s="125"/>
      <c r="N19" s="125">
        <f>I19</f>
        <v>10</v>
      </c>
      <c r="O19" s="125">
        <f>+SUM(L19:N19)</f>
        <v>10</v>
      </c>
      <c r="P19" s="245">
        <v>44531</v>
      </c>
    </row>
    <row r="20" spans="1:221" x14ac:dyDescent="0.2">
      <c r="A20" t="s">
        <v>296</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6" si="0">SUM(G25:I25)</f>
        <v>4.6278999999999999E-3</v>
      </c>
      <c r="K25" s="104" t="s">
        <v>42</v>
      </c>
      <c r="L25" s="105"/>
      <c r="M25" s="105"/>
      <c r="N25" s="105">
        <f t="shared" ref="N25:N30" si="1">ROUND(D25*I25,2)</f>
        <v>0</v>
      </c>
      <c r="O25" s="105">
        <f t="shared" ref="O25:O47"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IF($C$15&lt;0,0,$C$15)</f>
        <v>0</v>
      </c>
      <c r="E31" s="101" t="s">
        <v>41</v>
      </c>
      <c r="F31" s="102" t="s">
        <v>8</v>
      </c>
      <c r="G31" s="103"/>
      <c r="H31" s="103"/>
      <c r="I31" s="103">
        <f>'Rider Rates'!$B$15</f>
        <v>0</v>
      </c>
      <c r="J31" s="103">
        <f>SUM(G31:I31)</f>
        <v>0</v>
      </c>
      <c r="K31" s="104" t="s">
        <v>42</v>
      </c>
      <c r="L31" s="105"/>
      <c r="M31" s="105"/>
      <c r="N31" s="105">
        <f>ROUND(D31*I31,2)</f>
        <v>0</v>
      </c>
      <c r="O31" s="105">
        <f t="shared" ref="O31:O39"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237</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186</v>
      </c>
      <c r="B33" s="78"/>
      <c r="C33" s="78"/>
      <c r="D33" s="100">
        <f>'Customer Info'!$B$21+'Customer Info'!$B$22</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172</v>
      </c>
      <c r="B34" s="78"/>
      <c r="C34" s="78"/>
      <c r="D34" s="100">
        <f>'Customer Info'!B22</f>
        <v>0</v>
      </c>
      <c r="E34" s="101" t="s">
        <v>41</v>
      </c>
      <c r="F34" s="102" t="s">
        <v>8</v>
      </c>
      <c r="G34" s="103">
        <f>'Rider Rates'!B30</f>
        <v>1.3109600000000001E-2</v>
      </c>
      <c r="H34" s="103"/>
      <c r="I34" s="103"/>
      <c r="J34" s="237">
        <f>SUM(G34:H34)</f>
        <v>1.3109600000000001E-2</v>
      </c>
      <c r="K34" s="104" t="s">
        <v>42</v>
      </c>
      <c r="L34" s="105">
        <f>ROUND(D34*G34,2)</f>
        <v>0</v>
      </c>
      <c r="M34" s="105"/>
      <c r="N34" s="105"/>
      <c r="O34" s="105">
        <f t="shared" si="3"/>
        <v>0</v>
      </c>
      <c r="P34" s="245">
        <f>'Rider Rates'!$D$29</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173</v>
      </c>
      <c r="B35" s="78"/>
      <c r="C35" s="78"/>
      <c r="D35" s="1">
        <f>'Customer Info'!B21</f>
        <v>0</v>
      </c>
      <c r="E35" s="101" t="s">
        <v>41</v>
      </c>
      <c r="F35" s="102" t="s">
        <v>8</v>
      </c>
      <c r="G35" s="103">
        <f>'Rider Rates'!B29</f>
        <v>4.7587499999999998E-2</v>
      </c>
      <c r="H35" s="103"/>
      <c r="I35" s="103"/>
      <c r="J35" s="237">
        <f>SUM(G35:H35)</f>
        <v>4.7587499999999998E-2</v>
      </c>
      <c r="K35" s="104" t="s">
        <v>42</v>
      </c>
      <c r="L35" s="105">
        <f>ROUND(D35*G35,2)</f>
        <v>0</v>
      </c>
      <c r="M35" s="105"/>
      <c r="N35" s="105"/>
      <c r="O35" s="105">
        <f t="shared" si="3"/>
        <v>0</v>
      </c>
      <c r="P35" s="245">
        <f>'Rider Rates'!$D$30</f>
        <v>45809</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f>
        <v>0</v>
      </c>
      <c r="E36" s="101" t="s">
        <v>41</v>
      </c>
      <c r="F36" s="102" t="s">
        <v>8</v>
      </c>
      <c r="G36" s="103">
        <f>'Rider Rates'!B45</f>
        <v>-4.1073000000000004E-3</v>
      </c>
      <c r="H36" s="103"/>
      <c r="I36" s="103"/>
      <c r="J36" s="237">
        <f>SUM(G36:H36)</f>
        <v>-4.1073000000000004E-3</v>
      </c>
      <c r="K36" s="104" t="s">
        <v>42</v>
      </c>
      <c r="L36" s="105">
        <f>ROUND(D36*G36,2)</f>
        <v>0</v>
      </c>
      <c r="M36" s="105"/>
      <c r="N36" s="105"/>
      <c r="O36" s="105">
        <f>SUM(L36:N36)</f>
        <v>0</v>
      </c>
      <c r="P36" s="245">
        <f>'Rider Rates'!$D$45</f>
        <v>45747</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c r="E37" s="101" t="s">
        <v>115</v>
      </c>
      <c r="F37" s="102" t="s">
        <v>15</v>
      </c>
      <c r="G37" s="103"/>
      <c r="H37" s="103"/>
      <c r="I37" s="103">
        <f>'Rider Rates'!D48</f>
        <v>1.17</v>
      </c>
      <c r="J37" s="103">
        <f>SUM(G37:I37)</f>
        <v>1.17</v>
      </c>
      <c r="K37" s="104" t="s">
        <v>42</v>
      </c>
      <c r="L37" s="105"/>
      <c r="M37" s="105"/>
      <c r="N37" s="105">
        <f>J37</f>
        <v>1.17</v>
      </c>
      <c r="O37" s="105">
        <f>SUM(L37:N37)</f>
        <v>1.17</v>
      </c>
      <c r="P37" s="245">
        <f>'Rider Rates'!E48</f>
        <v>45658</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Rates'!$B$55</f>
        <v>3.5317099999999997E-2</v>
      </c>
      <c r="I38" s="103"/>
      <c r="J38" s="103">
        <f>SUM(G38:I38)</f>
        <v>3.5317099999999997E-2</v>
      </c>
      <c r="K38" s="104" t="s">
        <v>42</v>
      </c>
      <c r="L38" s="105"/>
      <c r="M38" s="105">
        <f>ROUND(D38*H38,2)</f>
        <v>0</v>
      </c>
      <c r="N38" s="205"/>
      <c r="O38" s="105">
        <f t="shared" si="3"/>
        <v>0</v>
      </c>
      <c r="P38" s="245">
        <f>'Rider Rates'!$D$55</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337</v>
      </c>
      <c r="B39" s="78"/>
      <c r="C39" s="78"/>
      <c r="D39" s="100">
        <f>IF($C$15&lt;0,0,$C$15)</f>
        <v>0</v>
      </c>
      <c r="E39" s="101" t="s">
        <v>41</v>
      </c>
      <c r="F39" s="102" t="s">
        <v>8</v>
      </c>
      <c r="G39" s="103"/>
      <c r="H39" s="103"/>
      <c r="I39" s="103">
        <f>'Rider Rates'!$B$66</f>
        <v>7.3870000000000001E-4</v>
      </c>
      <c r="J39" s="103">
        <f t="shared" ref="J39" si="4">SUM(G39:I39)</f>
        <v>7.3870000000000001E-4</v>
      </c>
      <c r="K39" s="104" t="s">
        <v>42</v>
      </c>
      <c r="L39" s="105"/>
      <c r="M39" s="105"/>
      <c r="N39" s="105">
        <f>ROUND($D$39*'Rider Rates'!$B$66,2)</f>
        <v>0</v>
      </c>
      <c r="O39" s="105">
        <f t="shared" si="3"/>
        <v>0</v>
      </c>
      <c r="P39" s="245">
        <f>'Rider Rates'!$D$66</f>
        <v>45747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Rates'!$B$69+'Rider Rates'!$C$69</f>
        <v>0</v>
      </c>
      <c r="J40" s="103">
        <f t="shared" si="0"/>
        <v>0</v>
      </c>
      <c r="K40" s="104" t="s">
        <v>42</v>
      </c>
      <c r="L40" s="105"/>
      <c r="M40" s="105"/>
      <c r="N40" s="105">
        <f>ROUND($D$40*'Rider Rates'!$B$69,2)+ROUND($D$40*'Rider Rates'!$C$69,2)</f>
        <v>0</v>
      </c>
      <c r="O40" s="105">
        <f t="shared" si="2"/>
        <v>0</v>
      </c>
      <c r="P40" s="245">
        <f>'Rider Rates'!$D$69</f>
        <v>45444</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$N$21</f>
        <v>10</v>
      </c>
      <c r="E41" s="101" t="s">
        <v>122</v>
      </c>
      <c r="F41" s="102" t="s">
        <v>8</v>
      </c>
      <c r="G41" s="111"/>
      <c r="H41" s="112"/>
      <c r="I41" s="120">
        <f>'Rider Rates'!$B$85</f>
        <v>1.9512100000000001E-2</v>
      </c>
      <c r="J41" s="120">
        <f t="shared" si="0"/>
        <v>1.9512100000000001E-2</v>
      </c>
      <c r="K41" s="104"/>
      <c r="L41" s="105"/>
      <c r="M41" s="105"/>
      <c r="N41" s="105">
        <f>ROUND(D41*I41,2)</f>
        <v>0.2</v>
      </c>
      <c r="O41" s="105">
        <f t="shared" si="2"/>
        <v>0.2</v>
      </c>
      <c r="P41" s="245">
        <f>'Rider Rates'!$D$85</f>
        <v>45747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$N$21</f>
        <v>10</v>
      </c>
      <c r="E42" s="101" t="s">
        <v>122</v>
      </c>
      <c r="F42" s="102" t="s">
        <v>8</v>
      </c>
      <c r="G42" s="114"/>
      <c r="H42" s="115"/>
      <c r="I42" s="120">
        <f>'Rider Rates'!$B$87</f>
        <v>6.6985699999999995E-2</v>
      </c>
      <c r="J42" s="120">
        <f t="shared" si="0"/>
        <v>6.6985699999999995E-2</v>
      </c>
      <c r="K42" s="104"/>
      <c r="L42" s="105"/>
      <c r="M42" s="105"/>
      <c r="N42" s="105">
        <f>ROUND(D42*I42,2)</f>
        <v>0.67</v>
      </c>
      <c r="O42" s="105">
        <f t="shared" si="2"/>
        <v>0.67</v>
      </c>
      <c r="P42" s="245">
        <f>'Rider Rates'!$D$87</f>
        <v>45167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Rates'!$B$90</f>
        <v>2.2200000000000002</v>
      </c>
      <c r="J43" s="196">
        <f t="shared" si="0"/>
        <v>2.2200000000000002</v>
      </c>
      <c r="K43" s="104"/>
      <c r="L43" s="105"/>
      <c r="M43" s="105"/>
      <c r="N43" s="105">
        <f>I43</f>
        <v>2.2200000000000002</v>
      </c>
      <c r="O43" s="105">
        <f t="shared" si="2"/>
        <v>2.2200000000000002</v>
      </c>
      <c r="P43" s="245">
        <f>'Rider Rates'!$D$90</f>
        <v>45747</v>
      </c>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Rates'!$B$94</f>
        <v>0</v>
      </c>
      <c r="K44" s="104" t="s">
        <v>42</v>
      </c>
      <c r="L44" s="105"/>
      <c r="M44" s="105"/>
      <c r="N44" s="105"/>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$N$21</f>
        <v>10</v>
      </c>
      <c r="E45" s="101" t="s">
        <v>122</v>
      </c>
      <c r="F45" s="102" t="s">
        <v>8</v>
      </c>
      <c r="G45" s="114"/>
      <c r="H45" s="115"/>
      <c r="I45" s="120">
        <f>'Rider Rates'!$B$105</f>
        <v>0.24140039999999999</v>
      </c>
      <c r="J45" s="120">
        <f t="shared" si="0"/>
        <v>0.24140039999999999</v>
      </c>
      <c r="K45" s="104"/>
      <c r="L45" s="105"/>
      <c r="M45" s="105"/>
      <c r="N45" s="105">
        <f>ROUND(D45*I45,2)</f>
        <v>2.41</v>
      </c>
      <c r="O45" s="105">
        <f t="shared" si="2"/>
        <v>2.41</v>
      </c>
      <c r="P45" s="245">
        <f>'Rider Rates'!$D$105</f>
        <v>45716</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Rates'!B120</f>
        <v>0.97</v>
      </c>
      <c r="J46" s="196">
        <f t="shared" si="0"/>
        <v>0.97</v>
      </c>
      <c r="K46" s="104"/>
      <c r="L46" s="105"/>
      <c r="M46" s="105"/>
      <c r="N46" s="260">
        <f>I46</f>
        <v>0.97</v>
      </c>
      <c r="O46" s="105">
        <f t="shared" si="2"/>
        <v>0.97</v>
      </c>
      <c r="P46" s="245">
        <f>'Rider Rates'!D120</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Rates'!B117</f>
        <v>0</v>
      </c>
      <c r="J48" s="251">
        <f>SUM(G48:I48)</f>
        <v>0</v>
      </c>
      <c r="K48" s="104" t="s">
        <v>42</v>
      </c>
      <c r="L48" s="105"/>
      <c r="M48" s="105"/>
      <c r="N48" s="105">
        <f>D48*J48</f>
        <v>0</v>
      </c>
      <c r="O48" s="105">
        <f>SUM(L48:N48)</f>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230</v>
      </c>
      <c r="B49" s="78"/>
      <c r="C49" s="78"/>
      <c r="D49" s="100"/>
      <c r="E49" s="101" t="s">
        <v>115</v>
      </c>
      <c r="F49" s="102" t="s">
        <v>8</v>
      </c>
      <c r="G49" s="263"/>
      <c r="H49" s="263"/>
      <c r="I49" s="263">
        <f>'Rider Rates'!$B$124</f>
        <v>0.1</v>
      </c>
      <c r="J49" s="263">
        <f>SUM(G49:I49)</f>
        <v>0.1</v>
      </c>
      <c r="K49" s="104"/>
      <c r="L49" s="209"/>
      <c r="M49" s="209"/>
      <c r="N49" s="209">
        <f>J49</f>
        <v>0.1</v>
      </c>
      <c r="O49" s="209">
        <f>SUM(L49:N49)</f>
        <v>0.1</v>
      </c>
      <c r="P49" s="264">
        <f>'Rider Rates'!$E$124</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C15</f>
        <v>0</v>
      </c>
      <c r="E50" s="101" t="s">
        <v>41</v>
      </c>
      <c r="F50" s="249" t="s">
        <v>8</v>
      </c>
      <c r="G50" s="103"/>
      <c r="H50" s="103"/>
      <c r="I50" s="103">
        <f>'Rider Rates'!$B$129</f>
        <v>0</v>
      </c>
      <c r="J50" s="237">
        <f>SUM(G50:I50)</f>
        <v>0</v>
      </c>
      <c r="K50" s="104" t="s">
        <v>42</v>
      </c>
      <c r="L50" s="105"/>
      <c r="M50" s="105"/>
      <c r="N50" s="105">
        <f>D50*J50</f>
        <v>0</v>
      </c>
      <c r="O50" s="105">
        <f>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Rates'!$B$136</f>
        <v>0</v>
      </c>
      <c r="J51" s="263">
        <f>SUM(G51:I51)</f>
        <v>0</v>
      </c>
      <c r="K51" s="104"/>
      <c r="L51" s="209"/>
      <c r="M51" s="209"/>
      <c r="N51" s="209">
        <f>J51</f>
        <v>0</v>
      </c>
      <c r="O51" s="209">
        <f>SUM(L51:N51)</f>
        <v>0</v>
      </c>
      <c r="P51" s="264">
        <f>'Rider Rates'!$D$132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5">SUM(M25:M52)</f>
        <v>0</v>
      </c>
      <c r="N53" s="169">
        <f t="shared" si="5"/>
        <v>7.7399999999999993</v>
      </c>
      <c r="O53" s="169">
        <f t="shared" si="5"/>
        <v>7.7399999999999993</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0"/>
      <c r="B55" s="170"/>
      <c r="C55" s="170"/>
      <c r="D55" s="170"/>
      <c r="E55" s="170"/>
      <c r="F55" s="170"/>
      <c r="G55" s="170"/>
      <c r="H55" s="170"/>
      <c r="I55" s="170"/>
      <c r="J55" s="170"/>
      <c r="K55" s="170"/>
      <c r="L55" s="186">
        <f>L21+L53</f>
        <v>0</v>
      </c>
      <c r="M55" s="186">
        <f>M21+M53</f>
        <v>0</v>
      </c>
      <c r="N55" s="186">
        <f>N21+N53</f>
        <v>17.739999999999998</v>
      </c>
      <c r="O55" s="187">
        <f>O21+O53</f>
        <v>17.739999999999998</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17.739999999999998</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t="s">
        <v>190</v>
      </c>
      <c r="J63" s="78"/>
      <c r="K63" s="78"/>
      <c r="L63" s="78"/>
      <c r="M63" s="78"/>
      <c r="N63" s="78"/>
      <c r="O63" s="243">
        <f>ROUND(IF($C$15&lt;1,0,(L55)/($C$15*100)*10000),2)</f>
        <v>0</v>
      </c>
      <c r="P63" s="25" t="s">
        <v>87</v>
      </c>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topLeftCell="A24" zoomScale="80" zoomScaleNormal="80" workbookViewId="0">
      <selection activeCell="D44" sqref="D44"/>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0" t="s">
        <v>120</v>
      </c>
      <c r="B1" s="480"/>
      <c r="C1" s="480"/>
      <c r="D1" s="480"/>
      <c r="E1" s="480"/>
      <c r="F1" s="480"/>
      <c r="G1" s="480"/>
      <c r="H1" s="480"/>
      <c r="I1" s="480"/>
      <c r="J1" s="480"/>
      <c r="K1" s="480"/>
      <c r="L1" s="480"/>
      <c r="M1" s="480"/>
      <c r="N1" s="480"/>
      <c r="O1" s="480"/>
      <c r="P1" s="480"/>
      <c r="Q1" s="197"/>
    </row>
    <row r="2" spans="1:59" ht="18" customHeight="1" x14ac:dyDescent="0.2">
      <c r="A2" s="489" t="s">
        <v>280</v>
      </c>
      <c r="B2" s="489"/>
      <c r="C2" s="489"/>
      <c r="D2" s="489"/>
      <c r="E2" s="489"/>
      <c r="F2" s="489"/>
      <c r="G2" s="489"/>
      <c r="H2" s="489"/>
      <c r="I2" s="489"/>
      <c r="J2" s="489"/>
      <c r="K2" s="489"/>
      <c r="L2" s="489"/>
      <c r="M2" s="489"/>
      <c r="N2" s="489"/>
      <c r="O2" s="489"/>
      <c r="P2" s="489"/>
    </row>
    <row r="3" spans="1:59" ht="18" x14ac:dyDescent="0.25">
      <c r="A3" s="489"/>
      <c r="B3" s="489"/>
      <c r="C3" s="489"/>
      <c r="D3" s="489"/>
      <c r="E3" s="489"/>
      <c r="F3" s="489"/>
      <c r="G3" s="489"/>
      <c r="H3" s="489"/>
      <c r="I3" s="489"/>
      <c r="J3" s="489"/>
      <c r="K3" s="489"/>
      <c r="L3" s="489"/>
      <c r="M3" s="489"/>
      <c r="N3" s="489"/>
      <c r="O3" s="489"/>
      <c r="P3" s="489"/>
      <c r="Q3" s="198"/>
    </row>
    <row r="4" spans="1:59"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 x14ac:dyDescent="0.2">
      <c r="A5" s="75"/>
      <c r="B5" s="75"/>
      <c r="C5" s="75"/>
      <c r="D5" s="75"/>
      <c r="E5" s="75"/>
      <c r="F5" s="75"/>
      <c r="G5" s="75"/>
      <c r="H5" s="75"/>
      <c r="I5" s="75"/>
      <c r="J5" s="75"/>
      <c r="K5" s="75"/>
      <c r="L5" s="75"/>
      <c r="M5" s="75"/>
      <c r="N5" s="75"/>
      <c r="O5" s="75"/>
      <c r="P5" s="75"/>
      <c r="Q5" s="75"/>
    </row>
    <row r="6" spans="1:59" x14ac:dyDescent="0.2">
      <c r="A6" s="277">
        <f ca="1">TODAY()</f>
        <v>45806</v>
      </c>
      <c r="B6" s="488" t="s">
        <v>235</v>
      </c>
      <c r="C6" s="488"/>
      <c r="D6" s="488"/>
      <c r="E6" s="488"/>
      <c r="F6" s="488"/>
      <c r="G6" s="488"/>
      <c r="H6" s="488"/>
      <c r="I6" s="488"/>
      <c r="J6" s="488"/>
      <c r="K6" s="488"/>
      <c r="L6" s="488"/>
      <c r="M6" s="488"/>
      <c r="N6" s="488"/>
      <c r="O6" s="488"/>
    </row>
    <row r="7" spans="1:59" x14ac:dyDescent="0.2">
      <c r="A7" s="479" t="s">
        <v>15</v>
      </c>
      <c r="B7" s="479"/>
      <c r="C7" s="479"/>
      <c r="D7" s="479"/>
      <c r="E7" s="479"/>
      <c r="F7" s="479"/>
      <c r="G7" s="479"/>
      <c r="H7" s="479"/>
      <c r="I7" s="479"/>
      <c r="J7" s="479"/>
      <c r="K7" s="479"/>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6</v>
      </c>
      <c r="C11" s="194" t="str">
        <f>LOOKUP($B$11,$S$11:$AD$11,S12:AD12)</f>
        <v>June</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281</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210" t="s">
        <v>282</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176"/>
      <c r="C32" s="176"/>
      <c r="D32" s="100">
        <f>IF($D$17&lt;0,0,IF($D$17&gt;833000,833000,$D$17))</f>
        <v>0</v>
      </c>
      <c r="E32" s="101" t="s">
        <v>41</v>
      </c>
      <c r="F32" s="102" t="s">
        <v>8</v>
      </c>
      <c r="G32" s="103"/>
      <c r="H32" s="103"/>
      <c r="I32" s="103">
        <f>'Rider Rates'!$B$4</f>
        <v>4.6278999999999999E-3</v>
      </c>
      <c r="J32" s="103">
        <f t="shared" ref="J32:J51" si="0">SUM(G32:I32)</f>
        <v>4.6278999999999999E-3</v>
      </c>
      <c r="K32" s="104" t="s">
        <v>42</v>
      </c>
      <c r="L32" s="105"/>
      <c r="M32" s="105"/>
      <c r="N32" s="105">
        <f t="shared" ref="N32:N38" si="1">ROUND(D32*I32,2)</f>
        <v>0</v>
      </c>
      <c r="O32" s="250">
        <f t="shared" ref="O32:O54" si="2">SUM(L32:N32)</f>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45657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159</v>
      </c>
      <c r="B38" s="78"/>
      <c r="C38" s="78"/>
      <c r="D38" s="100">
        <f>IF($D$17&lt;0,0,$D$17)</f>
        <v>0</v>
      </c>
      <c r="E38" s="101" t="s">
        <v>41</v>
      </c>
      <c r="F38" s="102" t="s">
        <v>8</v>
      </c>
      <c r="G38" s="103"/>
      <c r="H38" s="103"/>
      <c r="I38" s="103">
        <f>'Rider Rates'!B15</f>
        <v>0</v>
      </c>
      <c r="J38" s="103">
        <f>SUM(G38:I38)</f>
        <v>0</v>
      </c>
      <c r="K38" s="104" t="s">
        <v>42</v>
      </c>
      <c r="L38" s="105"/>
      <c r="M38" s="105"/>
      <c r="N38" s="105">
        <f t="shared" si="1"/>
        <v>0</v>
      </c>
      <c r="O38" s="105">
        <f t="shared" ref="O38:O44" si="3">SUM(L38:N38)</f>
        <v>0</v>
      </c>
      <c r="P38" s="245">
        <f>'Rider Rates'!$D$15</f>
        <v>45505</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237</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186</v>
      </c>
      <c r="B40" s="78"/>
      <c r="C40" s="78"/>
      <c r="D40" s="100">
        <f>'Customer Info'!$B$21+'Customer Info'!$B$22-'Customer Info'!$B$23</f>
        <v>0</v>
      </c>
      <c r="E40" s="101" t="s">
        <v>41</v>
      </c>
      <c r="F40" s="102" t="s">
        <v>8</v>
      </c>
      <c r="G40" s="103">
        <f>'Rider Rates'!$B$21</f>
        <v>7.6880000000000004E-2</v>
      </c>
      <c r="H40" s="103"/>
      <c r="I40" s="103"/>
      <c r="J40" s="237">
        <f>SUM(G40:H40)</f>
        <v>7.6880000000000004E-2</v>
      </c>
      <c r="K40" s="104" t="s">
        <v>42</v>
      </c>
      <c r="L40" s="105">
        <f>ROUND(D40*G40,2)</f>
        <v>0</v>
      </c>
      <c r="M40" s="105"/>
      <c r="N40" s="105"/>
      <c r="O40" s="105">
        <f t="shared" si="3"/>
        <v>0</v>
      </c>
      <c r="P40" s="245">
        <f>'Rider Rates'!$D$21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161</v>
      </c>
      <c r="B41" s="78"/>
      <c r="C41" s="78"/>
      <c r="D41" s="100">
        <f>'Customer Info'!$B$21+'Customer Info'!$B$22-'Customer Info'!$B$23</f>
        <v>0</v>
      </c>
      <c r="E41" s="101" t="s">
        <v>41</v>
      </c>
      <c r="F41" s="102" t="s">
        <v>8</v>
      </c>
      <c r="G41" s="103">
        <f>'Rider Rates'!$B$28</f>
        <v>2.298E-2</v>
      </c>
      <c r="H41" s="103"/>
      <c r="I41" s="103"/>
      <c r="J41" s="237">
        <f>SUM(G41:H41)</f>
        <v>2.298E-2</v>
      </c>
      <c r="K41" s="104" t="s">
        <v>42</v>
      </c>
      <c r="L41" s="239">
        <f>ROUND($D$41*$G$41,2)</f>
        <v>0</v>
      </c>
      <c r="M41" s="105"/>
      <c r="N41" s="105"/>
      <c r="O41" s="105">
        <f>SUM(L41:N41)</f>
        <v>0</v>
      </c>
      <c r="P41" s="245">
        <f>'Rider Rates'!$D$28</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Info'!$B$22-'Customer Info'!$B$23</f>
        <v>0</v>
      </c>
      <c r="E42" s="101" t="s">
        <v>41</v>
      </c>
      <c r="F42" s="102" t="s">
        <v>8</v>
      </c>
      <c r="G42" s="103">
        <f>'Rider Rates'!$B$45</f>
        <v>-4.1073000000000004E-3</v>
      </c>
      <c r="H42" s="103"/>
      <c r="I42" s="103"/>
      <c r="J42" s="237">
        <f>SUM(G42:H42)</f>
        <v>-4.1073000000000004E-3</v>
      </c>
      <c r="K42" s="104" t="s">
        <v>42</v>
      </c>
      <c r="L42" s="105">
        <f>ROUND(D42*G42,2)</f>
        <v>0</v>
      </c>
      <c r="M42" s="105"/>
      <c r="N42" s="105"/>
      <c r="O42" s="105">
        <f t="shared" si="3"/>
        <v>0</v>
      </c>
      <c r="P42" s="245">
        <f>'Rider Rates'!$D$45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1.17</v>
      </c>
      <c r="J43" s="237">
        <f>SUM(G43:I43)</f>
        <v>1.17</v>
      </c>
      <c r="K43" s="104"/>
      <c r="L43" s="105"/>
      <c r="M43" s="105"/>
      <c r="N43" s="105">
        <f>J43</f>
        <v>1.17</v>
      </c>
      <c r="O43" s="105">
        <f>SUM(L43:N43)</f>
        <v>1.17</v>
      </c>
      <c r="P43" s="245">
        <f>'Rider Rates'!E48</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3.5317099999999997E-2</v>
      </c>
      <c r="I44" s="103"/>
      <c r="J44" s="103">
        <f>SUM(G44:I44)</f>
        <v>3.5317099999999997E-2</v>
      </c>
      <c r="K44" s="104" t="s">
        <v>42</v>
      </c>
      <c r="L44" s="105"/>
      <c r="M44" s="105">
        <f>ROUND(D44*H44,2)</f>
        <v>0</v>
      </c>
      <c r="N44" s="205"/>
      <c r="O44" s="105">
        <f t="shared" si="3"/>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0"/>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122</v>
      </c>
      <c r="F47" s="102" t="s">
        <v>8</v>
      </c>
      <c r="G47" s="111"/>
      <c r="H47" s="112"/>
      <c r="I47" s="120">
        <f>'Rider Rates'!$B$85</f>
        <v>1.9512100000000001E-2</v>
      </c>
      <c r="J47" s="120">
        <f>SUM(G47:I47)</f>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$N$28</f>
        <v>10</v>
      </c>
      <c r="E48" s="101" t="s">
        <v>122</v>
      </c>
      <c r="F48" s="102" t="s">
        <v>8</v>
      </c>
      <c r="G48" s="114"/>
      <c r="H48" s="115"/>
      <c r="I48" s="120">
        <f>'Rider Rates'!$B$87</f>
        <v>6.6985699999999995E-2</v>
      </c>
      <c r="J48" s="120">
        <f t="shared" si="0"/>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2.2200000000000002</v>
      </c>
      <c r="J49" s="196">
        <f>SUM(G49:I49)</f>
        <v>2.2200000000000002</v>
      </c>
      <c r="K49" s="104"/>
      <c r="L49" s="105"/>
      <c r="M49" s="105"/>
      <c r="N49" s="105">
        <f>I49</f>
        <v>2.2200000000000002</v>
      </c>
      <c r="O49" s="250">
        <f>SUM(L49:N49)</f>
        <v>2.2200000000000002</v>
      </c>
      <c r="P49" s="245">
        <f>'Rider Rates'!$D$90</f>
        <v>45747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$N$28</f>
        <v>10</v>
      </c>
      <c r="E51" s="101" t="s">
        <v>122</v>
      </c>
      <c r="F51" s="102" t="s">
        <v>8</v>
      </c>
      <c r="G51" s="114"/>
      <c r="H51" s="115"/>
      <c r="I51" s="120">
        <f>'Rider Rates'!$B$105</f>
        <v>0.24140039999999999</v>
      </c>
      <c r="J51" s="238">
        <f t="shared" si="0"/>
        <v>0.24140039999999999</v>
      </c>
      <c r="K51" s="104"/>
      <c r="L51" s="105"/>
      <c r="M51" s="105"/>
      <c r="N51" s="105">
        <f>ROUND(D51*I51,2)</f>
        <v>2.41</v>
      </c>
      <c r="O51" s="105">
        <f t="shared" si="2"/>
        <v>2.41</v>
      </c>
      <c r="P51" s="245">
        <f>'Rider Rates'!$D$105</f>
        <v>45716</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Info'!$B$22-'Customer Info'!$B$23</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0.1</v>
      </c>
      <c r="J55" s="263">
        <f>SUM(G55:I55)</f>
        <v>0.1</v>
      </c>
      <c r="K55" s="104"/>
      <c r="L55" s="209"/>
      <c r="M55" s="209"/>
      <c r="N55" s="209">
        <f>J55</f>
        <v>0.1</v>
      </c>
      <c r="O55" s="209">
        <f>SUM(L55:N55)</f>
        <v>0.1</v>
      </c>
      <c r="P55" s="264">
        <f>'Rider Rates'!E124</f>
        <v>45658</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D17</f>
        <v>0</v>
      </c>
      <c r="E56" s="101" t="s">
        <v>41</v>
      </c>
      <c r="F56" s="249" t="s">
        <v>8</v>
      </c>
      <c r="G56" s="103"/>
      <c r="H56" s="103"/>
      <c r="I56" s="103">
        <f>'Rider Rates'!B129</f>
        <v>0</v>
      </c>
      <c r="J56" s="237">
        <f>SUM(G56:I56)</f>
        <v>0</v>
      </c>
      <c r="K56" s="104" t="s">
        <v>42</v>
      </c>
      <c r="L56" s="105"/>
      <c r="M56" s="105"/>
      <c r="N56" s="105">
        <f>D56*J56</f>
        <v>0</v>
      </c>
      <c r="O56" s="105">
        <f t="shared" ref="O56" si="6">SUM(L56:N56)</f>
        <v>0</v>
      </c>
      <c r="P56" s="245">
        <f>'Rider Rates'!D129</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Rates'!D136</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SUM(L32:L58)</f>
        <v>0</v>
      </c>
      <c r="M59" s="169">
        <f t="shared" ref="M59:O59" si="7">SUM(M32:M58)</f>
        <v>0</v>
      </c>
      <c r="N59" s="169">
        <f t="shared" si="7"/>
        <v>7.7399999999999993</v>
      </c>
      <c r="O59" s="169">
        <f t="shared" si="7"/>
        <v>7.7399999999999993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L28+L59</f>
        <v>0</v>
      </c>
      <c r="M61" s="186">
        <f>M28+M59</f>
        <v>0</v>
      </c>
      <c r="N61" s="186">
        <f>N28+N59</f>
        <v>17.739999999999998</v>
      </c>
      <c r="O61" s="187">
        <f>O28+O59</f>
        <v>17.739999999999998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17.739999999999998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78"/>
    </row>
    <row r="81" spans="1:1" x14ac:dyDescent="0.2">
      <c r="A81" s="478"/>
    </row>
    <row r="82" spans="1:1" x14ac:dyDescent="0.2">
      <c r="A82" s="478"/>
    </row>
    <row r="83" spans="1:1" x14ac:dyDescent="0.2">
      <c r="A83" s="478"/>
    </row>
    <row r="84" spans="1:1" x14ac:dyDescent="0.2">
      <c r="A84" s="478"/>
    </row>
    <row r="85" spans="1:1" x14ac:dyDescent="0.2">
      <c r="A85" s="478"/>
    </row>
    <row r="86" spans="1:1" x14ac:dyDescent="0.2">
      <c r="A86" s="478"/>
    </row>
    <row r="87" spans="1:1" x14ac:dyDescent="0.2">
      <c r="A87" s="478"/>
    </row>
    <row r="88" spans="1:1" x14ac:dyDescent="0.2">
      <c r="A88" s="478"/>
    </row>
    <row r="89" spans="1:1" x14ac:dyDescent="0.2">
      <c r="A89" s="478"/>
    </row>
    <row r="90" spans="1:1" x14ac:dyDescent="0.2">
      <c r="A90" s="478"/>
    </row>
    <row r="91" spans="1:1" x14ac:dyDescent="0.2">
      <c r="A91" s="478"/>
    </row>
    <row r="92" spans="1:1" x14ac:dyDescent="0.2">
      <c r="A92" s="478"/>
    </row>
    <row r="93" spans="1:1" x14ac:dyDescent="0.2">
      <c r="A93" s="478"/>
    </row>
    <row r="94" spans="1:1" x14ac:dyDescent="0.2">
      <c r="A94" s="478"/>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2"/>
  <sheetViews>
    <sheetView topLeftCell="A27" zoomScale="80" zoomScaleNormal="80" workbookViewId="0">
      <selection activeCell="D40" sqref="D40"/>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1" t="s">
        <v>120</v>
      </c>
      <c r="B1" s="501"/>
      <c r="C1" s="501"/>
      <c r="D1" s="501"/>
      <c r="E1" s="501"/>
      <c r="F1" s="501"/>
      <c r="G1" s="501"/>
      <c r="H1" s="501"/>
      <c r="I1" s="501"/>
      <c r="J1" s="501"/>
      <c r="K1" s="501"/>
      <c r="L1" s="501"/>
      <c r="M1" s="501"/>
      <c r="N1" s="501"/>
      <c r="O1" s="501"/>
      <c r="P1" s="501"/>
    </row>
    <row r="2" spans="1:30" ht="20.25" x14ac:dyDescent="0.3">
      <c r="A2" s="501" t="s">
        <v>277</v>
      </c>
      <c r="B2" s="501"/>
      <c r="C2" s="501"/>
      <c r="D2" s="501"/>
      <c r="E2" s="501"/>
      <c r="F2" s="501"/>
      <c r="G2" s="501"/>
      <c r="H2" s="501"/>
      <c r="I2" s="501"/>
      <c r="J2" s="501"/>
      <c r="K2" s="501"/>
      <c r="L2" s="501"/>
      <c r="M2" s="501"/>
      <c r="N2" s="501"/>
      <c r="O2" s="501"/>
      <c r="P2" s="501"/>
    </row>
    <row r="3" spans="1:30" ht="18" x14ac:dyDescent="0.25">
      <c r="A3" s="502" t="s">
        <v>316</v>
      </c>
      <c r="B3" s="502"/>
      <c r="C3" s="502"/>
      <c r="D3" s="502"/>
      <c r="E3" s="502"/>
      <c r="F3" s="502"/>
      <c r="G3" s="502"/>
      <c r="H3" s="502"/>
      <c r="I3" s="502"/>
      <c r="J3" s="502"/>
      <c r="K3" s="502"/>
      <c r="L3" s="502"/>
      <c r="M3" s="502"/>
      <c r="N3" s="502"/>
      <c r="O3" s="502"/>
      <c r="P3" s="502"/>
    </row>
    <row r="4" spans="1:30" ht="15.75" x14ac:dyDescent="0.2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45806</v>
      </c>
      <c r="B6" s="332" t="s">
        <v>317</v>
      </c>
      <c r="C6" s="332"/>
      <c r="D6" s="332"/>
      <c r="E6" s="332"/>
      <c r="F6" s="332"/>
      <c r="G6" s="332"/>
      <c r="H6" s="332"/>
      <c r="I6" s="332"/>
      <c r="J6" s="332"/>
      <c r="K6" s="332"/>
      <c r="L6" s="332"/>
      <c r="M6" s="332"/>
      <c r="N6" s="332"/>
      <c r="O6" s="332"/>
    </row>
    <row r="7" spans="1:30" x14ac:dyDescent="0.2">
      <c r="A7" s="504" t="s">
        <v>15</v>
      </c>
      <c r="B7" s="504"/>
      <c r="C7" s="504"/>
      <c r="D7" s="504"/>
      <c r="E7" s="504"/>
      <c r="F7" s="504"/>
      <c r="G7" s="504"/>
      <c r="H7" s="504"/>
      <c r="I7" s="504"/>
      <c r="J7" s="504"/>
      <c r="K7" s="504"/>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6</v>
      </c>
      <c r="C11" s="340" t="str">
        <f>LOOKUP(B11,R11:AD11,R12:AD12)</f>
        <v>June</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5"/>
      <c r="B12" s="505"/>
      <c r="C12" s="505"/>
      <c r="D12" s="505"/>
      <c r="E12" s="505"/>
      <c r="F12" s="505"/>
      <c r="G12" s="505"/>
      <c r="H12" s="505"/>
      <c r="I12" s="505"/>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497" t="s">
        <v>68</v>
      </c>
      <c r="H19" s="498"/>
      <c r="I19" s="498"/>
      <c r="J19" s="499"/>
      <c r="K19" s="351"/>
      <c r="L19" s="500" t="s">
        <v>69</v>
      </c>
      <c r="M19" s="500"/>
      <c r="N19" s="500"/>
      <c r="O19" s="500"/>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56" t="s">
        <v>32</v>
      </c>
      <c r="G21" s="357"/>
      <c r="H21" s="357"/>
      <c r="I21" s="250">
        <f>'Rider Rates'!B141</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f>'Rider Rates'!B21</f>
        <v>7.6880000000000004E-2</v>
      </c>
      <c r="H36" s="386"/>
      <c r="I36" s="386"/>
      <c r="J36" s="393">
        <f>SUM(G36:H36)</f>
        <v>7.6880000000000004E-2</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f>'Rider Rates'!$B$28</f>
        <v>2.298E-2</v>
      </c>
      <c r="H37" s="386"/>
      <c r="I37" s="386"/>
      <c r="J37" s="393">
        <f>SUM(G37:H37)</f>
        <v>2.298E-2</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f>'Rider Rates'!B45</f>
        <v>-4.1073000000000004E-3</v>
      </c>
      <c r="H38" s="386"/>
      <c r="I38" s="386"/>
      <c r="J38" s="393">
        <f>SUM(G38:H38)</f>
        <v>-4.1073000000000004E-3</v>
      </c>
      <c r="K38" s="364" t="s">
        <v>42</v>
      </c>
      <c r="L38" s="250">
        <f>ROUND(D38*G38,2)</f>
        <v>0</v>
      </c>
      <c r="M38" s="250"/>
      <c r="N38" s="250"/>
      <c r="O38" s="250">
        <f>SUM(L38:N38)</f>
        <v>0</v>
      </c>
      <c r="P38" s="358">
        <f>'Rider Rates'!$D$45</f>
        <v>45747</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1.17</v>
      </c>
      <c r="J39" s="386">
        <f>SUM(G39:I39)</f>
        <v>1.17</v>
      </c>
      <c r="K39" s="364" t="s">
        <v>42</v>
      </c>
      <c r="L39" s="250"/>
      <c r="M39" s="250"/>
      <c r="N39" s="250">
        <f>J39</f>
        <v>1.17</v>
      </c>
      <c r="O39" s="250">
        <f>SUM(L39:N39)</f>
        <v>1.17</v>
      </c>
      <c r="P39" s="358">
        <f>'Rider Rates'!E48</f>
        <v>45658</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3.5317099999999997E-2</v>
      </c>
      <c r="I40" s="386"/>
      <c r="J40" s="386">
        <f>SUM(G40:I40)</f>
        <v>3.5317099999999997E-2</v>
      </c>
      <c r="K40" s="364" t="s">
        <v>42</v>
      </c>
      <c r="L40" s="250"/>
      <c r="M40" s="250">
        <f>ROUND(D40*H40,2)</f>
        <v>0</v>
      </c>
      <c r="N40" s="396"/>
      <c r="O40" s="250">
        <f t="shared" si="2"/>
        <v>0</v>
      </c>
      <c r="P40" s="358">
        <f>'Rider Rates'!$D$55</f>
        <v>45747</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1.9512100000000001E-2</v>
      </c>
      <c r="J43" s="398">
        <f t="shared" si="0"/>
        <v>1.9512100000000001E-2</v>
      </c>
      <c r="K43" s="364"/>
      <c r="L43" s="250"/>
      <c r="M43" s="250"/>
      <c r="N43" s="250">
        <f>ROUND(D43*I43,2)</f>
        <v>0.2</v>
      </c>
      <c r="O43" s="250">
        <f t="shared" si="2"/>
        <v>0.2</v>
      </c>
      <c r="P43" s="358">
        <f>'Rider Rates'!$D$85</f>
        <v>45747</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2.2200000000000002</v>
      </c>
      <c r="J45" s="400">
        <f t="shared" si="0"/>
        <v>2.2200000000000002</v>
      </c>
      <c r="K45" s="364"/>
      <c r="L45" s="250"/>
      <c r="M45" s="250"/>
      <c r="N45" s="250">
        <f>I45</f>
        <v>2.2200000000000002</v>
      </c>
      <c r="O45" s="250">
        <f t="shared" si="2"/>
        <v>2.2200000000000002</v>
      </c>
      <c r="P45" s="358">
        <f>'Rider Rates'!$D$90</f>
        <v>45747</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0.24140039999999999</v>
      </c>
      <c r="J47" s="398">
        <f t="shared" si="0"/>
        <v>0.24140039999999999</v>
      </c>
      <c r="K47" s="364"/>
      <c r="L47" s="250"/>
      <c r="M47" s="250"/>
      <c r="N47" s="250">
        <f>ROUND(D47*I47,2)</f>
        <v>2.41</v>
      </c>
      <c r="O47" s="250">
        <f t="shared" si="2"/>
        <v>2.41</v>
      </c>
      <c r="P47" s="358">
        <f>'Rider Rates'!$D$105</f>
        <v>45716</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f>'Rider Rates'!$B$112</f>
        <v>3.8972999999999998E-3</v>
      </c>
      <c r="H49" s="386"/>
      <c r="I49" s="398"/>
      <c r="J49" s="393">
        <f>SUM(G49:H49)</f>
        <v>3.8972999999999998E-3</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Rates'!$B$124</f>
        <v>0.1</v>
      </c>
      <c r="J51" s="404">
        <f>SUM(G51:I51)</f>
        <v>0.1</v>
      </c>
      <c r="K51" s="364"/>
      <c r="L51" s="405"/>
      <c r="M51" s="405"/>
      <c r="N51" s="405">
        <f>J51</f>
        <v>0.1</v>
      </c>
      <c r="O51" s="405">
        <f>SUM(L51:N51)</f>
        <v>0.1</v>
      </c>
      <c r="P51" s="406">
        <f>'Rider Rates'!$E$124</f>
        <v>45658</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7.7399999999999993</v>
      </c>
      <c r="O55" s="412">
        <f t="shared" si="5"/>
        <v>7.7399999999999993</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17.739999999999998</v>
      </c>
      <c r="O57" s="417">
        <f>O24+O55</f>
        <v>17.739999999999998</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17.739999999999998</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topLeftCell="A19" zoomScale="80" zoomScaleNormal="80" workbookViewId="0">
      <selection activeCell="D38" sqref="D38"/>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5" t="s">
        <v>120</v>
      </c>
      <c r="B1" s="495"/>
      <c r="C1" s="495"/>
      <c r="D1" s="495"/>
      <c r="E1" s="495"/>
      <c r="F1" s="495"/>
      <c r="G1" s="495"/>
      <c r="H1" s="495"/>
      <c r="I1" s="495"/>
      <c r="J1" s="495"/>
      <c r="K1" s="495"/>
      <c r="L1" s="495"/>
      <c r="M1" s="495"/>
      <c r="N1" s="495"/>
      <c r="O1" s="495"/>
      <c r="P1" s="495"/>
    </row>
    <row r="2" spans="1:30" ht="20.25" x14ac:dyDescent="0.3">
      <c r="A2" s="480" t="s">
        <v>277</v>
      </c>
      <c r="B2" s="480"/>
      <c r="C2" s="480"/>
      <c r="D2" s="480"/>
      <c r="E2" s="480"/>
      <c r="F2" s="480"/>
      <c r="G2" s="480"/>
      <c r="H2" s="480"/>
      <c r="I2" s="480"/>
      <c r="J2" s="480"/>
      <c r="K2" s="480"/>
      <c r="L2" s="480"/>
      <c r="M2" s="480"/>
      <c r="N2" s="480"/>
      <c r="O2" s="480"/>
      <c r="P2" s="480"/>
    </row>
    <row r="3" spans="1:30" ht="18" x14ac:dyDescent="0.25">
      <c r="A3" s="496" t="s">
        <v>84</v>
      </c>
      <c r="B3" s="496"/>
      <c r="C3" s="496"/>
      <c r="D3" s="496"/>
      <c r="E3" s="496"/>
      <c r="F3" s="496"/>
      <c r="G3" s="496"/>
      <c r="H3" s="496"/>
      <c r="I3" s="496"/>
      <c r="J3" s="496"/>
      <c r="K3" s="496"/>
      <c r="L3" s="496"/>
      <c r="M3" s="496"/>
      <c r="N3" s="496"/>
      <c r="O3" s="496"/>
      <c r="P3" s="496"/>
    </row>
    <row r="4" spans="1:30" ht="15.75" x14ac:dyDescent="0.2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 x14ac:dyDescent="0.2">
      <c r="A5" s="75"/>
      <c r="B5" s="75"/>
      <c r="C5" s="75"/>
      <c r="D5" s="75"/>
      <c r="E5" s="75"/>
      <c r="F5" s="75"/>
      <c r="G5" s="75"/>
      <c r="H5" s="75"/>
      <c r="I5" s="75"/>
      <c r="J5" s="75"/>
      <c r="K5" s="75"/>
    </row>
    <row r="6" spans="1:30" x14ac:dyDescent="0.2">
      <c r="A6" s="76">
        <f ca="1">TODAY()</f>
        <v>45806</v>
      </c>
      <c r="B6" s="210" t="s">
        <v>249</v>
      </c>
      <c r="C6" s="76"/>
      <c r="D6" s="76"/>
      <c r="E6" s="76"/>
      <c r="F6" s="76"/>
      <c r="G6" s="76"/>
      <c r="H6" s="76"/>
      <c r="I6" s="76"/>
    </row>
    <row r="7" spans="1:30" ht="26.25" x14ac:dyDescent="0.4">
      <c r="A7" s="506"/>
      <c r="B7" s="506"/>
      <c r="C7" s="506"/>
      <c r="D7" s="506"/>
      <c r="E7" s="506"/>
      <c r="F7" s="506"/>
      <c r="G7" s="506"/>
      <c r="H7" s="506"/>
      <c r="I7" s="506"/>
      <c r="J7" s="506"/>
      <c r="K7" s="506"/>
      <c r="L7" s="506"/>
      <c r="M7" s="506"/>
      <c r="N7" s="506"/>
      <c r="O7" s="506"/>
      <c r="P7" s="50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6</v>
      </c>
      <c r="C11" s="194" t="str">
        <f>LOOKUP(B11,R11:AD11,R12:AD12)</f>
        <v>June</v>
      </c>
      <c r="D11" s="133">
        <f>'Customer Info'!C9</f>
        <v>2025</v>
      </c>
      <c r="S11">
        <v>1</v>
      </c>
      <c r="T11">
        <v>2</v>
      </c>
      <c r="U11">
        <v>3</v>
      </c>
      <c r="V11">
        <v>4</v>
      </c>
      <c r="W11">
        <v>5</v>
      </c>
      <c r="X11">
        <v>6</v>
      </c>
      <c r="Y11">
        <v>7</v>
      </c>
      <c r="Z11">
        <v>8</v>
      </c>
      <c r="AA11">
        <v>9</v>
      </c>
      <c r="AB11">
        <v>10</v>
      </c>
      <c r="AC11">
        <v>11</v>
      </c>
      <c r="AD11">
        <v>12</v>
      </c>
    </row>
    <row r="12" spans="1:30" x14ac:dyDescent="0.2">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0" t="s">
        <v>68</v>
      </c>
      <c r="H19" s="491"/>
      <c r="I19" s="491"/>
      <c r="J19" s="492"/>
      <c r="K19" s="22"/>
      <c r="L19" s="493" t="s">
        <v>69</v>
      </c>
      <c r="M19" s="493"/>
      <c r="N19" s="493"/>
      <c r="O19" s="493"/>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s="287"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45627</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6" si="0">SUM(G27:I27)</f>
        <v>4.6278999999999999E-3</v>
      </c>
      <c r="K27" s="104" t="s">
        <v>42</v>
      </c>
      <c r="L27" s="105"/>
      <c r="M27" s="105"/>
      <c r="N27" s="105">
        <f t="shared" ref="N27:N32" si="1">ROUND(D27*I27,2)</f>
        <v>0</v>
      </c>
      <c r="O27" s="105">
        <f t="shared" ref="O27:O47"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'Customer Info'!$B$21+'Customer Info'!$B$22-'Customer Info'!$B$23</f>
        <v>0</v>
      </c>
      <c r="E34" s="101" t="s">
        <v>41</v>
      </c>
      <c r="F34" s="102" t="s">
        <v>8</v>
      </c>
      <c r="G34" s="103">
        <f>'Rider Rates'!B22</f>
        <v>7.6880000000000004E-2</v>
      </c>
      <c r="H34" s="103"/>
      <c r="I34" s="103"/>
      <c r="J34" s="237">
        <f>SUM(G34:H34)</f>
        <v>7.6880000000000004E-2</v>
      </c>
      <c r="K34" s="104" t="s">
        <v>42</v>
      </c>
      <c r="L34" s="105">
        <f>ROUND(D34*G34,2)</f>
        <v>0</v>
      </c>
      <c r="M34" s="105"/>
      <c r="N34" s="105"/>
      <c r="O34" s="105">
        <f t="shared" si="3"/>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161</v>
      </c>
      <c r="B35" s="78"/>
      <c r="C35" s="78"/>
      <c r="D35" s="100">
        <f>'Customer Info'!$B$21+'Customer Info'!$B$22-'Customer Info'!$B$23</f>
        <v>0</v>
      </c>
      <c r="E35" s="101" t="s">
        <v>41</v>
      </c>
      <c r="F35" s="102" t="s">
        <v>8</v>
      </c>
      <c r="G35" s="103">
        <f>'Rider Rates'!$B$33</f>
        <v>1.8849999999999999E-2</v>
      </c>
      <c r="H35" s="103"/>
      <c r="I35" s="103"/>
      <c r="J35" s="237">
        <f>SUM(G35:H35)</f>
        <v>1.8849999999999999E-2</v>
      </c>
      <c r="K35" s="104" t="s">
        <v>42</v>
      </c>
      <c r="L35" s="105">
        <f>ROUND(D35*G35,2)</f>
        <v>0</v>
      </c>
      <c r="M35" s="105"/>
      <c r="N35" s="105"/>
      <c r="O35" s="105">
        <f t="shared" si="3"/>
        <v>0</v>
      </c>
      <c r="P35" s="245">
        <f>'Rider Rates'!$D$33</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Info'!$B$22-'Customer Info'!$B$23</f>
        <v>0</v>
      </c>
      <c r="E36" s="101" t="s">
        <v>41</v>
      </c>
      <c r="F36" s="102" t="s">
        <v>8</v>
      </c>
      <c r="G36" s="103">
        <f>'Rider Rates'!$B$45</f>
        <v>-4.1073000000000004E-3</v>
      </c>
      <c r="H36" s="103"/>
      <c r="I36" s="103"/>
      <c r="J36" s="237">
        <f>SUM(G36:H36)</f>
        <v>-4.1073000000000004E-3</v>
      </c>
      <c r="K36" s="104" t="s">
        <v>42</v>
      </c>
      <c r="L36" s="105">
        <f>ROUND(D36*G36,2)</f>
        <v>0</v>
      </c>
      <c r="M36" s="105"/>
      <c r="N36" s="105"/>
      <c r="O36" s="105">
        <f t="shared" si="3"/>
        <v>0</v>
      </c>
      <c r="P36" s="245">
        <f>'Rider Rates'!$D$45</f>
        <v>45747</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f>IF($C$15&lt;0,0,IF($C$15&gt;833000,833000,$C$15))</f>
        <v>0</v>
      </c>
      <c r="E37" s="101" t="s">
        <v>41</v>
      </c>
      <c r="F37" s="102" t="s">
        <v>8</v>
      </c>
      <c r="G37" s="103"/>
      <c r="H37" s="103"/>
      <c r="I37" s="103">
        <f>'Rider Rates'!D49</f>
        <v>1.8006999999999999E-3</v>
      </c>
      <c r="J37" s="103">
        <f>SUM(G37:I37)</f>
        <v>1.8006999999999999E-3</v>
      </c>
      <c r="K37" s="104" t="s">
        <v>42</v>
      </c>
      <c r="L37" s="105"/>
      <c r="M37" s="105"/>
      <c r="N37" s="105">
        <f>D37*J37</f>
        <v>0</v>
      </c>
      <c r="O37" s="105">
        <f t="shared" si="3"/>
        <v>0</v>
      </c>
      <c r="P37" s="245">
        <f>'Rider Rates'!E49</f>
        <v>45658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Rates'!$B$56</f>
        <v>1.9706999999999999E-2</v>
      </c>
      <c r="I38" s="103"/>
      <c r="J38" s="103">
        <f>SUM(G38:I38)</f>
        <v>1.9706999999999999E-2</v>
      </c>
      <c r="K38" s="104" t="s">
        <v>42</v>
      </c>
      <c r="L38" s="105"/>
      <c r="M38" s="105">
        <f>ROUND(D38*H38,2)</f>
        <v>0</v>
      </c>
      <c r="N38" s="205"/>
      <c r="O38" s="105">
        <f t="shared" si="3"/>
        <v>0</v>
      </c>
      <c r="P38" s="245">
        <f>'Rider Rates'!$D$56</f>
        <v>45747</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Info'!C34=TRUE,0,IF($C$15&lt;0,0,$C$15))</f>
        <v>0</v>
      </c>
      <c r="E39" s="101" t="s">
        <v>41</v>
      </c>
      <c r="F39" s="102" t="s">
        <v>8</v>
      </c>
      <c r="G39" s="103"/>
      <c r="H39" s="103"/>
      <c r="I39" s="103">
        <f>'Rider Rates'!$B$70+'Rider Rates'!$C$70</f>
        <v>0</v>
      </c>
      <c r="J39" s="103">
        <f t="shared" si="0"/>
        <v>0</v>
      </c>
      <c r="K39" s="104" t="s">
        <v>42</v>
      </c>
      <c r="L39" s="105"/>
      <c r="M39" s="105"/>
      <c r="N39" s="105">
        <f>ROUND($D$39*'Rider Rates'!$B$70,2)+ROUND($D$39*'Rider Rates'!$C$70,2)</f>
        <v>0</v>
      </c>
      <c r="O39" s="105">
        <f t="shared" si="2"/>
        <v>0</v>
      </c>
      <c r="P39" s="245">
        <f>'Rider Rates'!$D$70</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c r="E40" s="101" t="s">
        <v>115</v>
      </c>
      <c r="F40" s="102"/>
      <c r="G40" s="103"/>
      <c r="H40" s="103"/>
      <c r="I40" s="196">
        <f>'Rider Rates'!$B$77</f>
        <v>0</v>
      </c>
      <c r="J40" s="196">
        <f>IF('Customer Info'!C34=TRUE,0,SUM(G40:I40))</f>
        <v>0</v>
      </c>
      <c r="K40" s="104"/>
      <c r="L40" s="105"/>
      <c r="M40" s="105"/>
      <c r="N40" s="105">
        <f>J40</f>
        <v>0</v>
      </c>
      <c r="O40" s="105">
        <f>SUM(L40:N40)</f>
        <v>0</v>
      </c>
      <c r="P40" s="245">
        <f>'Rider Rates'!$D$77</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$N$23</f>
        <v>9.4</v>
      </c>
      <c r="E41" s="101" t="s">
        <v>122</v>
      </c>
      <c r="F41" s="102" t="s">
        <v>8</v>
      </c>
      <c r="G41" s="111"/>
      <c r="H41" s="112"/>
      <c r="I41" s="120">
        <f>'Rider Rates'!$B$85</f>
        <v>1.9512100000000001E-2</v>
      </c>
      <c r="J41" s="120">
        <f t="shared" si="0"/>
        <v>1.9512100000000001E-2</v>
      </c>
      <c r="K41" s="104"/>
      <c r="L41" s="105"/>
      <c r="M41" s="105"/>
      <c r="N41" s="105">
        <f>ROUND(D41*I41,2)</f>
        <v>0.18</v>
      </c>
      <c r="O41" s="105">
        <f t="shared" si="2"/>
        <v>0.18</v>
      </c>
      <c r="P41" s="245">
        <f>'Rider Rates'!$D$85</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$N$23</f>
        <v>9.4</v>
      </c>
      <c r="E42" s="101" t="s">
        <v>122</v>
      </c>
      <c r="F42" s="102" t="s">
        <v>8</v>
      </c>
      <c r="G42" s="114"/>
      <c r="H42" s="115"/>
      <c r="I42" s="120">
        <f>'Rider Rates'!$B$87</f>
        <v>6.6985699999999995E-2</v>
      </c>
      <c r="J42" s="120">
        <f t="shared" si="0"/>
        <v>6.6985699999999995E-2</v>
      </c>
      <c r="K42" s="104"/>
      <c r="L42" s="105"/>
      <c r="M42" s="105"/>
      <c r="N42" s="105">
        <f>ROUND(D42*I42,2)</f>
        <v>0.63</v>
      </c>
      <c r="O42" s="105">
        <f t="shared" si="2"/>
        <v>0.63</v>
      </c>
      <c r="P42" s="245">
        <f>'Rider Rates'!$D$87</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Rates'!$B$91</f>
        <v>18.72</v>
      </c>
      <c r="J43" s="196">
        <f t="shared" si="0"/>
        <v>18.72</v>
      </c>
      <c r="K43" s="104"/>
      <c r="L43" s="105"/>
      <c r="M43" s="105"/>
      <c r="N43" s="105">
        <f>I43</f>
        <v>18.72</v>
      </c>
      <c r="O43" s="105">
        <f t="shared" si="2"/>
        <v>18.72</v>
      </c>
      <c r="P43" s="245">
        <f>'Rider Rates'!$D$91</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Rates'!$B$95</f>
        <v>0</v>
      </c>
      <c r="K44" s="104" t="s">
        <v>42</v>
      </c>
      <c r="L44" s="105"/>
      <c r="M44" s="105"/>
      <c r="N44" s="105"/>
      <c r="O44" s="105">
        <f>ROUND($D44*('Rider Rates'!B$95),2)</f>
        <v>0</v>
      </c>
      <c r="P44" s="245">
        <f>'Rider Rates'!$D$95</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$N$23</f>
        <v>9.4</v>
      </c>
      <c r="E45" s="101" t="s">
        <v>122</v>
      </c>
      <c r="F45" s="102" t="s">
        <v>8</v>
      </c>
      <c r="G45" s="114"/>
      <c r="H45" s="115"/>
      <c r="I45" s="120">
        <f>'Rider Rates'!$B$105</f>
        <v>0.24140039999999999</v>
      </c>
      <c r="J45" s="120">
        <f t="shared" si="0"/>
        <v>0.24140039999999999</v>
      </c>
      <c r="K45" s="104"/>
      <c r="L45" s="105"/>
      <c r="M45" s="105"/>
      <c r="N45" s="105">
        <f>ROUND(D45*I45,2)</f>
        <v>2.27</v>
      </c>
      <c r="O45" s="105">
        <f t="shared" si="2"/>
        <v>2.27</v>
      </c>
      <c r="P45" s="245">
        <f>'Rider Rates'!$D$105</f>
        <v>45716</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Rates'!B121</f>
        <v>4.84</v>
      </c>
      <c r="J46" s="196">
        <f t="shared" si="0"/>
        <v>4.84</v>
      </c>
      <c r="K46" s="104"/>
      <c r="L46" s="105"/>
      <c r="M46" s="105"/>
      <c r="N46" s="260">
        <f>I46</f>
        <v>4.84</v>
      </c>
      <c r="O46" s="105">
        <f t="shared" si="2"/>
        <v>4.84</v>
      </c>
      <c r="P46" s="245">
        <f>'Rider Rates'!D121</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Info'!$B$22-'Customer Info'!$B$23</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Rates'!B118</f>
        <v>0</v>
      </c>
      <c r="J48" s="251">
        <f>SUM(G48:I48)</f>
        <v>0</v>
      </c>
      <c r="K48" s="104" t="s">
        <v>42</v>
      </c>
      <c r="L48" s="105"/>
      <c r="M48" s="105"/>
      <c r="N48" s="105">
        <f>D48*J48</f>
        <v>0</v>
      </c>
      <c r="O48" s="105">
        <f>SUM(L48:N48)</f>
        <v>0</v>
      </c>
      <c r="P48" s="245">
        <f>'Rider Rates'!D118</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78" t="s">
        <v>233</v>
      </c>
      <c r="B49" s="78"/>
      <c r="C49" s="78"/>
      <c r="D49" s="100">
        <f>IF(C15&lt;0,0,IF(C15&gt;833000,833000,C15))</f>
        <v>0</v>
      </c>
      <c r="E49" s="101" t="s">
        <v>41</v>
      </c>
      <c r="F49" s="102" t="s">
        <v>8</v>
      </c>
      <c r="G49" s="265"/>
      <c r="H49" s="265"/>
      <c r="I49" s="265">
        <f>'Rider Rates'!B125</f>
        <v>2.9050000000000001E-4</v>
      </c>
      <c r="J49" s="265">
        <f>SUM(G49:I49)</f>
        <v>2.9050000000000001E-4</v>
      </c>
      <c r="K49" s="104" t="s">
        <v>42</v>
      </c>
      <c r="L49" s="266"/>
      <c r="M49" s="266"/>
      <c r="N49" s="266">
        <f>IF(D49*J49&gt;'Rider Rates'!$C$125,'Rider Rates'!$C$125,D49*J49)</f>
        <v>0</v>
      </c>
      <c r="O49" s="266">
        <f>SUM(L49:N49)</f>
        <v>0</v>
      </c>
      <c r="P49" s="264">
        <f>'Rider Rates'!$E$125</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234</v>
      </c>
      <c r="B50" s="78"/>
      <c r="C50" s="78"/>
      <c r="D50" s="123">
        <f>IF(C15&gt;833000,C15-833000,0)</f>
        <v>0</v>
      </c>
      <c r="E50" s="101" t="s">
        <v>41</v>
      </c>
      <c r="F50" s="102" t="s">
        <v>8</v>
      </c>
      <c r="G50" s="265"/>
      <c r="H50" s="265"/>
      <c r="I50" s="265">
        <f>'Rider Rates'!B126</f>
        <v>0</v>
      </c>
      <c r="J50" s="265">
        <f>SUM(G50:I50)</f>
        <v>0</v>
      </c>
      <c r="K50" s="104" t="s">
        <v>42</v>
      </c>
      <c r="L50" s="266"/>
      <c r="M50" s="266"/>
      <c r="N50" s="266">
        <f>D50*J50</f>
        <v>0</v>
      </c>
      <c r="O50" s="266">
        <f>SUM(L50:N50)</f>
        <v>0</v>
      </c>
      <c r="P50" s="264">
        <f>'Rider Rates'!$E$126</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242</v>
      </c>
      <c r="B51" s="78"/>
      <c r="C51" s="78"/>
      <c r="D51" s="100">
        <f>C15</f>
        <v>0</v>
      </c>
      <c r="E51" s="101" t="s">
        <v>41</v>
      </c>
      <c r="F51" s="249" t="s">
        <v>8</v>
      </c>
      <c r="G51" s="103"/>
      <c r="H51" s="103"/>
      <c r="I51" s="103">
        <f>'Rider Rates'!$B$130</f>
        <v>0</v>
      </c>
      <c r="J51" s="237">
        <f>SUM(G51:I51)</f>
        <v>0</v>
      </c>
      <c r="K51" s="104" t="s">
        <v>42</v>
      </c>
      <c r="L51" s="105"/>
      <c r="M51" s="105"/>
      <c r="N51" s="105">
        <f>D51*J51</f>
        <v>0</v>
      </c>
      <c r="O51" s="105">
        <f>SUM(L51:N51)</f>
        <v>0</v>
      </c>
      <c r="P51" s="245">
        <f>'Rider Rates'!$D$130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241</v>
      </c>
      <c r="B52" s="78"/>
      <c r="C52" s="78"/>
      <c r="D52" s="100"/>
      <c r="E52" s="101" t="s">
        <v>115</v>
      </c>
      <c r="F52" s="102" t="s">
        <v>8</v>
      </c>
      <c r="G52" s="263"/>
      <c r="H52" s="263"/>
      <c r="I52" s="263">
        <f>'Rider Rates'!$B$137</f>
        <v>0</v>
      </c>
      <c r="J52" s="263">
        <f>SUM(G52:I52)</f>
        <v>0</v>
      </c>
      <c r="K52" s="104"/>
      <c r="L52" s="209"/>
      <c r="M52" s="209"/>
      <c r="N52" s="209">
        <f>J52</f>
        <v>0</v>
      </c>
      <c r="O52" s="209">
        <f>SUM(L52:N52)</f>
        <v>0</v>
      </c>
      <c r="P52" s="264">
        <f>'Rider Rates'!D137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9" t="s">
        <v>71</v>
      </c>
      <c r="B54" s="148"/>
      <c r="C54" s="148"/>
      <c r="D54" s="180"/>
      <c r="E54" s="181"/>
      <c r="F54" s="182"/>
      <c r="G54" s="182"/>
      <c r="H54" s="182"/>
      <c r="I54" s="182"/>
      <c r="J54" s="182"/>
      <c r="K54" s="183"/>
      <c r="L54" s="169">
        <f>SUM(L27:L53)</f>
        <v>0</v>
      </c>
      <c r="M54" s="169">
        <f t="shared" ref="M54:O54" si="4">SUM(M27:M53)</f>
        <v>0</v>
      </c>
      <c r="N54" s="169">
        <f t="shared" si="4"/>
        <v>26.639999999999997</v>
      </c>
      <c r="O54" s="169">
        <f t="shared" si="4"/>
        <v>26.639999999999997</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100"/>
      <c r="E55" s="113"/>
      <c r="F55" s="106"/>
      <c r="G55" s="106"/>
      <c r="H55" s="106"/>
      <c r="I55" s="106"/>
      <c r="J55" s="107"/>
      <c r="K55" s="104"/>
      <c r="L55" s="106"/>
      <c r="M55" s="106"/>
      <c r="N55" s="106"/>
      <c r="O55" s="106"/>
      <c r="P55" s="1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85" t="s">
        <v>94</v>
      </c>
      <c r="B56" s="170"/>
      <c r="C56" s="170"/>
      <c r="D56" s="170"/>
      <c r="E56" s="170"/>
      <c r="F56" s="170"/>
      <c r="G56" s="170"/>
      <c r="H56" s="170"/>
      <c r="I56" s="170"/>
      <c r="J56" s="170"/>
      <c r="K56" s="170"/>
      <c r="L56" s="186">
        <f>L23+L54</f>
        <v>0</v>
      </c>
      <c r="M56" s="186">
        <f>M23+M54</f>
        <v>0</v>
      </c>
      <c r="N56" s="186">
        <f>N23+N54</f>
        <v>36.04</v>
      </c>
      <c r="O56" s="187">
        <f>O23+O54</f>
        <v>36.04</v>
      </c>
      <c r="P56" s="187"/>
      <c r="Q56" s="106"/>
      <c r="R56" s="188"/>
      <c r="S56" s="108"/>
      <c r="T56" s="109"/>
      <c r="U56" s="78"/>
      <c r="V56" s="10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93</v>
      </c>
      <c r="B59" s="78"/>
      <c r="C59" s="78"/>
      <c r="D59" s="78"/>
      <c r="E59" s="78"/>
      <c r="F59" s="78"/>
      <c r="G59" s="78"/>
      <c r="H59" s="78"/>
      <c r="I59" s="78"/>
      <c r="J59" s="78"/>
      <c r="K59" s="78"/>
      <c r="L59" s="78"/>
      <c r="M59" s="78"/>
      <c r="N59" s="78"/>
      <c r="O59" s="109">
        <f>O21+O54</f>
        <v>36.04</v>
      </c>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15</v>
      </c>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t="s">
        <v>117</v>
      </c>
      <c r="B61" s="151"/>
      <c r="C61" s="151"/>
      <c r="D61" s="151"/>
      <c r="E61" s="151"/>
      <c r="F61" s="151"/>
      <c r="G61" s="151"/>
      <c r="H61" s="151"/>
      <c r="I61" s="151"/>
      <c r="J61" s="151"/>
      <c r="K61" s="151"/>
      <c r="L61" s="151"/>
      <c r="M61" s="151"/>
      <c r="N61" s="151"/>
      <c r="O61" s="190">
        <f>IF($D$17&lt;0,O56,IF(O56&gt;O59,O56,O59))</f>
        <v>36.04</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5" customHeight="1" x14ac:dyDescent="0.2">
      <c r="A62" s="148"/>
      <c r="B62" s="151"/>
      <c r="C62" s="151"/>
      <c r="D62" s="151"/>
      <c r="E62" s="151"/>
      <c r="F62" s="151"/>
      <c r="G62" s="151"/>
      <c r="H62" s="151"/>
      <c r="I62" s="151"/>
      <c r="J62" s="151"/>
      <c r="K62" s="151"/>
      <c r="L62" s="151"/>
      <c r="M62" s="151"/>
      <c r="N62" s="151"/>
      <c r="O62" s="190"/>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148"/>
      <c r="B63" s="166"/>
      <c r="C63" s="166"/>
      <c r="D63" s="166"/>
      <c r="E63" s="166"/>
      <c r="F63" s="166"/>
      <c r="G63" s="166"/>
      <c r="H63" s="166"/>
      <c r="I63" s="166" t="s">
        <v>121</v>
      </c>
      <c r="J63" s="166"/>
      <c r="K63" s="166"/>
      <c r="L63" s="191"/>
      <c r="M63" s="191"/>
      <c r="N63" s="191"/>
      <c r="O63" s="191">
        <f>ROUND(IF($C$15&lt;1,0,O56/($C$15*100)*10000),2)</f>
        <v>0</v>
      </c>
      <c r="P63" s="37" t="s">
        <v>87</v>
      </c>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B64" s="78"/>
      <c r="C64" s="78"/>
      <c r="D64" s="78"/>
      <c r="E64" s="78"/>
      <c r="F64" s="78"/>
      <c r="G64" s="78"/>
      <c r="H64" s="192"/>
      <c r="I64" s="242" t="s">
        <v>190</v>
      </c>
      <c r="J64" s="78"/>
      <c r="K64" s="78"/>
      <c r="L64" s="78"/>
      <c r="M64" s="78"/>
      <c r="N64" s="78"/>
      <c r="O64" s="243">
        <f>ROUND(IF($C$15&lt;1,0,(L56)/($C$15*100)*10000),2)</f>
        <v>0</v>
      </c>
      <c r="P64" s="25" t="s">
        <v>87</v>
      </c>
      <c r="Q64" s="78"/>
      <c r="R64" s="78"/>
      <c r="S64" s="78"/>
      <c r="T64" s="78"/>
      <c r="U64" s="78"/>
      <c r="V64" s="78"/>
      <c r="W64" s="78"/>
      <c r="X64" s="78"/>
      <c r="Y64" s="78"/>
      <c r="Z64" s="78"/>
      <c r="AA64" s="78"/>
      <c r="AB64" s="78"/>
      <c r="AC64" s="78"/>
      <c r="AD64" s="78"/>
      <c r="AE64" s="78"/>
      <c r="AF64" s="78"/>
      <c r="AG64" s="78"/>
      <c r="AH64" s="78"/>
      <c r="AI64" s="78"/>
      <c r="AJ64" s="78"/>
      <c r="AK64" s="78"/>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3.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4.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2.xml><?xml version="1.0" encoding="utf-8"?>
<ds:datastoreItem xmlns:ds="http://schemas.openxmlformats.org/officeDocument/2006/customXml" ds:itemID="{DECF9182-FCF6-4A46-A4AF-60B0ED96EAAA}">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25</vt:i4>
      </vt:variant>
    </vt:vector>
  </HeadingPairs>
  <TitlesOfParts>
    <vt:vector size="58"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RR Open Access</vt:lpstr>
      <vt:lpstr>RSDM Open</vt:lpstr>
      <vt:lpstr>RS PEV OPEN</vt:lpstr>
      <vt:lpstr>GS-1 Open</vt:lpstr>
      <vt:lpstr>GS-PEV OAD</vt:lpstr>
      <vt:lpstr>GS SEC OAD</vt:lpstr>
      <vt:lpstr>GS PRI OAD</vt:lpstr>
      <vt:lpstr>GS TRANS - OAD</vt:lpstr>
      <vt:lpstr>Bus PEV Sec OAD</vt:lpstr>
      <vt:lpstr>Bus PEV - Primary OAD</vt:lpstr>
      <vt:lpstr>Bus PEV Trans OAD</vt:lpstr>
      <vt:lpstr>Rider Rates</vt:lpstr>
      <vt:lpstr>Riders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2025-05-29T18:13:09Z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