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2.February\"/>
    </mc:Choice>
  </mc:AlternateContent>
  <xr:revisionPtr revIDLastSave="0" documentId="13_ncr:1_{EE2AD23A-B456-4E31-9B4F-394CFD807102}"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J38" i="160"/>
  <c r="I38" i="160"/>
  <c r="P37" i="160"/>
  <c r="I37" i="160"/>
  <c r="J37" i="160" s="1"/>
  <c r="P36" i="160"/>
  <c r="I36" i="160"/>
  <c r="J36" i="160" s="1"/>
  <c r="P35" i="160"/>
  <c r="I35" i="160"/>
  <c r="J35" i="160" s="1"/>
  <c r="P34" i="160"/>
  <c r="I34" i="160"/>
  <c r="J34" i="160" s="1"/>
  <c r="P33" i="160"/>
  <c r="I33" i="160"/>
  <c r="J33" i="160" s="1"/>
  <c r="J28" i="160"/>
  <c r="J27" i="160"/>
  <c r="C19" i="160"/>
  <c r="C17" i="160"/>
  <c r="D17" i="160" s="1"/>
  <c r="C16" i="160"/>
  <c r="D40" i="160" s="1"/>
  <c r="C15" i="160"/>
  <c r="D15"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J42" i="159"/>
  <c r="H42" i="159"/>
  <c r="P41" i="159"/>
  <c r="H41" i="159"/>
  <c r="J41" i="159" s="1"/>
  <c r="P40" i="159"/>
  <c r="P39" i="159"/>
  <c r="J39" i="159"/>
  <c r="I39" i="159"/>
  <c r="P38" i="159"/>
  <c r="I38" i="159"/>
  <c r="J38" i="159" s="1"/>
  <c r="P37" i="159"/>
  <c r="I37" i="159"/>
  <c r="J37" i="159" s="1"/>
  <c r="P36" i="159"/>
  <c r="I36" i="159"/>
  <c r="J36" i="159" s="1"/>
  <c r="P35" i="159"/>
  <c r="I35" i="159"/>
  <c r="J35" i="159" s="1"/>
  <c r="P34" i="159"/>
  <c r="J34" i="159"/>
  <c r="I34" i="159"/>
  <c r="J29" i="159"/>
  <c r="J28" i="159"/>
  <c r="N26" i="159"/>
  <c r="O26" i="159" s="1"/>
  <c r="J26" i="159"/>
  <c r="C20" i="159"/>
  <c r="D19"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I47" i="158"/>
  <c r="J47" i="158" s="1"/>
  <c r="P46" i="158"/>
  <c r="I46" i="158"/>
  <c r="J46" i="158" s="1"/>
  <c r="P45" i="158"/>
  <c r="I45" i="158"/>
  <c r="J45" i="158" s="1"/>
  <c r="P44" i="158"/>
  <c r="J44" i="158"/>
  <c r="I44" i="158"/>
  <c r="P43" i="158"/>
  <c r="I43" i="158"/>
  <c r="J43" i="158" s="1"/>
  <c r="P42" i="158"/>
  <c r="H42" i="158"/>
  <c r="J42" i="158" s="1"/>
  <c r="P41" i="158"/>
  <c r="H41" i="158"/>
  <c r="J41" i="158" s="1"/>
  <c r="P40" i="158"/>
  <c r="P39" i="158"/>
  <c r="I39" i="158"/>
  <c r="J39" i="158" s="1"/>
  <c r="P38" i="158"/>
  <c r="I38" i="158"/>
  <c r="J38" i="158" s="1"/>
  <c r="P37" i="158"/>
  <c r="I37" i="158"/>
  <c r="J37" i="158" s="1"/>
  <c r="P36" i="158"/>
  <c r="J36" i="158"/>
  <c r="I36" i="158"/>
  <c r="P35" i="158"/>
  <c r="I35" i="158"/>
  <c r="J35" i="158" s="1"/>
  <c r="P34" i="158"/>
  <c r="I34" i="158"/>
  <c r="J34" i="158" s="1"/>
  <c r="J29" i="158"/>
  <c r="J28" i="158"/>
  <c r="N26" i="158"/>
  <c r="J26" i="158"/>
  <c r="C20" i="158"/>
  <c r="D19" i="158"/>
  <c r="C17" i="158"/>
  <c r="D17" i="158" s="1"/>
  <c r="C16" i="158"/>
  <c r="C15" i="158"/>
  <c r="D15"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J43" i="157"/>
  <c r="H43" i="157"/>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J35" i="157"/>
  <c r="I35" i="157"/>
  <c r="P34" i="157"/>
  <c r="I34" i="157"/>
  <c r="J34" i="157" s="1"/>
  <c r="P33" i="157"/>
  <c r="I33" i="157"/>
  <c r="J33" i="157" s="1"/>
  <c r="J28" i="157"/>
  <c r="J27" i="157"/>
  <c r="C19" i="157"/>
  <c r="D17" i="157" s="1"/>
  <c r="C17" i="157"/>
  <c r="C16" i="157"/>
  <c r="D33" i="157" s="1"/>
  <c r="D50" i="157" s="1"/>
  <c r="O50" i="157" s="1"/>
  <c r="C15" i="157"/>
  <c r="D15" i="157" s="1"/>
  <c r="C14" i="157"/>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G42" i="156"/>
  <c r="J42" i="156" s="1"/>
  <c r="D42" i="156"/>
  <c r="P41" i="156"/>
  <c r="G41" i="156"/>
  <c r="J41" i="156" s="1"/>
  <c r="D41" i="156"/>
  <c r="P40" i="156"/>
  <c r="G40" i="156"/>
  <c r="J40" i="156" s="1"/>
  <c r="D40" i="156"/>
  <c r="P39" i="156"/>
  <c r="I39" i="156"/>
  <c r="J39" i="156" s="1"/>
  <c r="P38" i="156"/>
  <c r="J38" i="156"/>
  <c r="I38" i="156"/>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J45" i="140" s="1"/>
  <c r="I39" i="126"/>
  <c r="J39" i="126" s="1"/>
  <c r="P41" i="154"/>
  <c r="I41" i="154"/>
  <c r="J41" i="154"/>
  <c r="P35" i="132"/>
  <c r="I35" i="132"/>
  <c r="J35" i="132"/>
  <c r="P41" i="131"/>
  <c r="I41" i="131"/>
  <c r="J41" i="131" s="1"/>
  <c r="J41" i="146"/>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s="1"/>
  <c r="P32" i="154"/>
  <c r="I32" i="154"/>
  <c r="J32" i="154" s="1"/>
  <c r="P31" i="154"/>
  <c r="I31" i="154"/>
  <c r="J31" i="154" s="1"/>
  <c r="P30" i="154"/>
  <c r="I30" i="154"/>
  <c r="J30" i="154"/>
  <c r="P29" i="154"/>
  <c r="I29" i="154"/>
  <c r="J29" i="154"/>
  <c r="P28" i="154"/>
  <c r="I28" i="154"/>
  <c r="J28" i="154" s="1"/>
  <c r="P23" i="154"/>
  <c r="I23" i="154"/>
  <c r="J23" i="154"/>
  <c r="P22" i="154"/>
  <c r="I22" i="154"/>
  <c r="J22" i="154"/>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s="1"/>
  <c r="O53" i="153" s="1"/>
  <c r="P52" i="153"/>
  <c r="I52" i="153"/>
  <c r="J52" i="153" s="1"/>
  <c r="P51" i="153"/>
  <c r="I51" i="153"/>
  <c r="J51" i="153"/>
  <c r="P50" i="153"/>
  <c r="I50" i="153"/>
  <c r="J50" i="153" s="1"/>
  <c r="P49" i="153"/>
  <c r="I49" i="153"/>
  <c r="J49" i="153" s="1"/>
  <c r="P48" i="153"/>
  <c r="J48" i="153"/>
  <c r="P47" i="153"/>
  <c r="I47" i="153"/>
  <c r="J47" i="153" s="1"/>
  <c r="P46" i="153"/>
  <c r="I46" i="153"/>
  <c r="J46" i="153"/>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c r="P28" i="153"/>
  <c r="I28" i="153"/>
  <c r="J28" i="153" s="1"/>
  <c r="P27" i="153"/>
  <c r="I27" i="153"/>
  <c r="J27" i="153" s="1"/>
  <c r="P22" i="153"/>
  <c r="I22" i="153"/>
  <c r="J22" i="153"/>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c r="O53" i="152" s="1"/>
  <c r="P52" i="152"/>
  <c r="I52" i="152"/>
  <c r="J52" i="152"/>
  <c r="P51" i="152"/>
  <c r="I51" i="152"/>
  <c r="J51" i="152"/>
  <c r="P50" i="152"/>
  <c r="I50" i="152"/>
  <c r="J50" i="152" s="1"/>
  <c r="P49" i="152"/>
  <c r="I49" i="152"/>
  <c r="J49" i="152"/>
  <c r="P48" i="152"/>
  <c r="J48" i="152"/>
  <c r="P47" i="152"/>
  <c r="I47" i="152"/>
  <c r="N47" i="152" s="1"/>
  <c r="O47" i="152" s="1"/>
  <c r="P46" i="152"/>
  <c r="I46" i="152"/>
  <c r="J46" i="152" s="1"/>
  <c r="P45" i="152"/>
  <c r="J45" i="152"/>
  <c r="P44" i="152"/>
  <c r="I44" i="152"/>
  <c r="N44" i="152" s="1"/>
  <c r="O44" i="152" s="1"/>
  <c r="J44" i="152"/>
  <c r="P43" i="152"/>
  <c r="I43" i="152"/>
  <c r="J43" i="152" s="1"/>
  <c r="P42" i="152"/>
  <c r="I42" i="152"/>
  <c r="J42" i="152" s="1"/>
  <c r="P41" i="152"/>
  <c r="I41" i="152"/>
  <c r="J41" i="152"/>
  <c r="N41" i="152"/>
  <c r="O41" i="152" s="1"/>
  <c r="P40" i="152"/>
  <c r="I40" i="152"/>
  <c r="J40" i="152" s="1"/>
  <c r="P39" i="152"/>
  <c r="H39" i="152"/>
  <c r="J39" i="152" s="1"/>
  <c r="P38" i="152"/>
  <c r="P37" i="152"/>
  <c r="J37" i="152"/>
  <c r="P36" i="152"/>
  <c r="J36" i="152"/>
  <c r="P35" i="152"/>
  <c r="J35" i="152"/>
  <c r="P34" i="152"/>
  <c r="J34" i="152"/>
  <c r="P33" i="152"/>
  <c r="I33" i="152"/>
  <c r="J33" i="152"/>
  <c r="P32" i="152"/>
  <c r="I32" i="152"/>
  <c r="J32" i="152" s="1"/>
  <c r="P31" i="152"/>
  <c r="I31" i="152"/>
  <c r="J31" i="152"/>
  <c r="P30" i="152"/>
  <c r="I30" i="152"/>
  <c r="J30" i="152" s="1"/>
  <c r="P29" i="152"/>
  <c r="I29" i="152"/>
  <c r="J29" i="152"/>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c r="P48" i="151"/>
  <c r="J48" i="151"/>
  <c r="P47" i="151"/>
  <c r="I47" i="151"/>
  <c r="J47" i="151" s="1"/>
  <c r="P46" i="151"/>
  <c r="I46" i="151"/>
  <c r="J46" i="151"/>
  <c r="P45" i="151"/>
  <c r="J45" i="151"/>
  <c r="P44" i="151"/>
  <c r="I44" i="151"/>
  <c r="J44" i="151" s="1"/>
  <c r="P43" i="151"/>
  <c r="I43" i="151"/>
  <c r="J43" i="15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s="1"/>
  <c r="P29" i="151"/>
  <c r="I29" i="151"/>
  <c r="J29" i="151" s="1"/>
  <c r="P28" i="151"/>
  <c r="I28" i="151"/>
  <c r="J28" i="151" s="1"/>
  <c r="P27" i="151"/>
  <c r="I27" i="151"/>
  <c r="J27" i="151" s="1"/>
  <c r="P22" i="151"/>
  <c r="I22" i="151"/>
  <c r="J22" i="151" s="1"/>
  <c r="I21" i="151"/>
  <c r="J21" i="151" s="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J48" i="148" s="1"/>
  <c r="G36" i="148"/>
  <c r="G35" i="148"/>
  <c r="J35" i="148" s="1"/>
  <c r="G34" i="148"/>
  <c r="G36" i="147"/>
  <c r="G35" i="147"/>
  <c r="J35" i="147" s="1"/>
  <c r="D23" i="154"/>
  <c r="N23" i="154" s="1"/>
  <c r="O23" i="154" s="1"/>
  <c r="N48" i="154"/>
  <c r="O48" i="154" s="1"/>
  <c r="L36" i="153"/>
  <c r="O36" i="153" s="1"/>
  <c r="N21" i="151"/>
  <c r="O21" i="151"/>
  <c r="L36" i="151"/>
  <c r="O36" i="151" s="1"/>
  <c r="J21" i="153"/>
  <c r="J21" i="152"/>
  <c r="D52" i="153"/>
  <c r="D34" i="147"/>
  <c r="L34" i="147" s="1"/>
  <c r="G37" i="146"/>
  <c r="J37" i="146" s="1"/>
  <c r="D37" i="146"/>
  <c r="I32" i="147"/>
  <c r="J32" i="147"/>
  <c r="P32" i="147"/>
  <c r="P23" i="146"/>
  <c r="I23" i="146"/>
  <c r="J23" i="146" s="1"/>
  <c r="C16" i="146"/>
  <c r="D23" i="146" s="1"/>
  <c r="C15" i="146"/>
  <c r="I22" i="147"/>
  <c r="J22" i="147"/>
  <c r="P22" i="148"/>
  <c r="P22" i="146"/>
  <c r="P22" i="147"/>
  <c r="P22" i="149"/>
  <c r="I22" i="149"/>
  <c r="J22" i="149" s="1"/>
  <c r="I21" i="149"/>
  <c r="N21" i="149"/>
  <c r="O21" i="149" s="1"/>
  <c r="P53" i="149"/>
  <c r="I53" i="149"/>
  <c r="J53" i="149"/>
  <c r="N53" i="149"/>
  <c r="O53" i="149" s="1"/>
  <c r="P52" i="149"/>
  <c r="I52" i="149"/>
  <c r="J52" i="149"/>
  <c r="P51" i="149"/>
  <c r="I51" i="149"/>
  <c r="J51" i="149"/>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c r="P42" i="149"/>
  <c r="I42" i="149"/>
  <c r="J42" i="149"/>
  <c r="P41" i="149"/>
  <c r="I41" i="149"/>
  <c r="J41" i="149" s="1"/>
  <c r="N41" i="149" s="1"/>
  <c r="O41" i="149" s="1"/>
  <c r="P40" i="149"/>
  <c r="I40" i="149"/>
  <c r="J40" i="149"/>
  <c r="P39" i="149"/>
  <c r="H39" i="149"/>
  <c r="J39" i="149" s="1"/>
  <c r="P38" i="149"/>
  <c r="P37" i="149"/>
  <c r="G37" i="149"/>
  <c r="J37" i="149" s="1"/>
  <c r="P36" i="149"/>
  <c r="J36" i="149"/>
  <c r="P35" i="149"/>
  <c r="J35" i="149"/>
  <c r="P34" i="149"/>
  <c r="J34" i="149"/>
  <c r="P33" i="149"/>
  <c r="I33" i="149"/>
  <c r="J33" i="149"/>
  <c r="P32" i="149"/>
  <c r="I32" i="149"/>
  <c r="J32" i="149" s="1"/>
  <c r="P31" i="149"/>
  <c r="I31" i="149"/>
  <c r="J31" i="149" s="1"/>
  <c r="P30" i="149"/>
  <c r="I30" i="149"/>
  <c r="J30" i="149" s="1"/>
  <c r="P29" i="149"/>
  <c r="I29" i="149"/>
  <c r="J29" i="149"/>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c r="P53" i="148"/>
  <c r="I53" i="148"/>
  <c r="J53" i="148"/>
  <c r="N53" i="148"/>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c r="P42" i="148"/>
  <c r="I42" i="148"/>
  <c r="J42" i="148"/>
  <c r="P41" i="148"/>
  <c r="I41" i="148"/>
  <c r="J41" i="148" s="1"/>
  <c r="N41" i="148" s="1"/>
  <c r="O41" i="148" s="1"/>
  <c r="P40" i="148"/>
  <c r="I40" i="148"/>
  <c r="J40" i="148"/>
  <c r="P39" i="148"/>
  <c r="H39" i="148"/>
  <c r="J39" i="148" s="1"/>
  <c r="P38" i="148"/>
  <c r="P37" i="148"/>
  <c r="G37" i="148"/>
  <c r="J37" i="148" s="1"/>
  <c r="P36" i="148"/>
  <c r="J36" i="148"/>
  <c r="P35" i="148"/>
  <c r="P34" i="148"/>
  <c r="J34" i="148"/>
  <c r="P33" i="148"/>
  <c r="I33" i="148"/>
  <c r="J33" i="148"/>
  <c r="P32" i="148"/>
  <c r="I32" i="148"/>
  <c r="J32" i="148" s="1"/>
  <c r="P31" i="148"/>
  <c r="I31" i="148"/>
  <c r="J31" i="148"/>
  <c r="P30" i="148"/>
  <c r="I30" i="148"/>
  <c r="J30" i="148"/>
  <c r="P29" i="148"/>
  <c r="I29" i="148"/>
  <c r="J29" i="148" s="1"/>
  <c r="P28" i="148"/>
  <c r="I28" i="148"/>
  <c r="J28" i="148" s="1"/>
  <c r="P27" i="148"/>
  <c r="I27" i="148"/>
  <c r="J27" i="148" s="1"/>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c r="N53" i="147" s="1"/>
  <c r="O53" i="147" s="1"/>
  <c r="P52" i="147"/>
  <c r="I52" i="147"/>
  <c r="J52" i="147" s="1"/>
  <c r="P51" i="147"/>
  <c r="I51" i="147"/>
  <c r="J51" i="147"/>
  <c r="P50" i="147"/>
  <c r="I50" i="147"/>
  <c r="J50" i="147"/>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c r="O53" i="146" s="1"/>
  <c r="P52" i="146"/>
  <c r="I52" i="146"/>
  <c r="J52" i="146" s="1"/>
  <c r="P51" i="146"/>
  <c r="I51" i="146"/>
  <c r="J51" i="146"/>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c r="P43" i="146"/>
  <c r="I43" i="146"/>
  <c r="J43" i="146"/>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c r="P32" i="146"/>
  <c r="I32" i="146"/>
  <c r="J32" i="146" s="1"/>
  <c r="P31" i="146"/>
  <c r="I31" i="146"/>
  <c r="J31" i="146" s="1"/>
  <c r="P30" i="146"/>
  <c r="I30" i="146"/>
  <c r="J30" i="146"/>
  <c r="P29" i="146"/>
  <c r="I29" i="146"/>
  <c r="J29" i="146"/>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N21" i="148"/>
  <c r="O21" i="148"/>
  <c r="N44" i="148"/>
  <c r="O44" i="148" s="1"/>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c r="P45" i="145"/>
  <c r="J45" i="145"/>
  <c r="P44" i="145"/>
  <c r="I44" i="145"/>
  <c r="N44" i="145" s="1"/>
  <c r="O44" i="145" s="1"/>
  <c r="P43" i="145"/>
  <c r="I43" i="145"/>
  <c r="J43" i="145" s="1"/>
  <c r="P42" i="145"/>
  <c r="I42" i="145"/>
  <c r="J42" i="145" s="1"/>
  <c r="P41" i="145"/>
  <c r="I41" i="145"/>
  <c r="J41" i="145"/>
  <c r="N41" i="145"/>
  <c r="O41" i="145" s="1"/>
  <c r="P40" i="145"/>
  <c r="I40" i="145"/>
  <c r="J40" i="145"/>
  <c r="P39" i="145"/>
  <c r="H39" i="145"/>
  <c r="J39" i="145"/>
  <c r="P38" i="145"/>
  <c r="P37" i="145"/>
  <c r="J37" i="145"/>
  <c r="P36" i="145"/>
  <c r="J36" i="145"/>
  <c r="P35" i="145"/>
  <c r="J35" i="145"/>
  <c r="P34" i="145"/>
  <c r="J34" i="145"/>
  <c r="P33" i="145"/>
  <c r="I33" i="145"/>
  <c r="J33" i="145"/>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s="1"/>
  <c r="C10" i="145"/>
  <c r="C9" i="145"/>
  <c r="A6" i="145"/>
  <c r="A4" i="145"/>
  <c r="P53" i="144"/>
  <c r="I53" i="144"/>
  <c r="J53" i="144"/>
  <c r="N53" i="144" s="1"/>
  <c r="O53" i="144" s="1"/>
  <c r="P52" i="144"/>
  <c r="I52" i="144"/>
  <c r="J52" i="144"/>
  <c r="P51" i="144"/>
  <c r="I51" i="144"/>
  <c r="J51" i="144"/>
  <c r="P50" i="144"/>
  <c r="I50" i="144"/>
  <c r="J50" i="144" s="1"/>
  <c r="P49" i="144"/>
  <c r="I49" i="144"/>
  <c r="J49" i="144"/>
  <c r="P48" i="144"/>
  <c r="G48" i="144"/>
  <c r="J48" i="144"/>
  <c r="P47" i="144"/>
  <c r="I47" i="144"/>
  <c r="N47" i="144" s="1"/>
  <c r="O47" i="144" s="1"/>
  <c r="P46" i="144"/>
  <c r="I46" i="144"/>
  <c r="J46" i="144" s="1"/>
  <c r="P45" i="144"/>
  <c r="J45" i="144"/>
  <c r="P44" i="144"/>
  <c r="I44" i="144"/>
  <c r="N44" i="144" s="1"/>
  <c r="O44" i="144" s="1"/>
  <c r="P43" i="144"/>
  <c r="I43" i="144"/>
  <c r="J43" i="144"/>
  <c r="P42" i="144"/>
  <c r="I42" i="144"/>
  <c r="J42" i="144" s="1"/>
  <c r="P41" i="144"/>
  <c r="I41" i="144"/>
  <c r="J41" i="144" s="1"/>
  <c r="N41" i="144" s="1"/>
  <c r="O41" i="144" s="1"/>
  <c r="P40" i="144"/>
  <c r="I40" i="144"/>
  <c r="J40" i="144" s="1"/>
  <c r="P39" i="144"/>
  <c r="H39" i="144"/>
  <c r="J39" i="144" s="1"/>
  <c r="P38" i="144"/>
  <c r="P37" i="144"/>
  <c r="G37" i="144"/>
  <c r="J37" i="144" s="1"/>
  <c r="P36" i="144"/>
  <c r="G36" i="144"/>
  <c r="J36" i="144"/>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O48" i="145"/>
  <c r="J44" i="144"/>
  <c r="O35" i="145"/>
  <c r="D36" i="144"/>
  <c r="L36" i="144" s="1"/>
  <c r="O36" i="144" s="1"/>
  <c r="J39" i="130"/>
  <c r="O34" i="145"/>
  <c r="L55" i="145"/>
  <c r="L57" i="145"/>
  <c r="D54" i="130"/>
  <c r="L54" i="130" s="1"/>
  <c r="O54" i="130" s="1"/>
  <c r="D55" i="129"/>
  <c r="D55" i="40"/>
  <c r="G40" i="129"/>
  <c r="G40" i="40"/>
  <c r="G35" i="139"/>
  <c r="G35" i="138"/>
  <c r="G31" i="119"/>
  <c r="G34" i="128"/>
  <c r="J34" i="128" s="1"/>
  <c r="G34" i="37"/>
  <c r="G33" i="126"/>
  <c r="G39" i="127"/>
  <c r="D41" i="130"/>
  <c r="D40" i="130"/>
  <c r="D39" i="130"/>
  <c r="D42" i="129"/>
  <c r="D41" i="129"/>
  <c r="L41" i="129" s="1"/>
  <c r="O41" i="129" s="1"/>
  <c r="D40" i="129"/>
  <c r="L40" i="129" s="1"/>
  <c r="D42" i="40"/>
  <c r="D41" i="40"/>
  <c r="D40" i="40"/>
  <c r="L40" i="40" s="1"/>
  <c r="O40" i="40" s="1"/>
  <c r="D48" i="139"/>
  <c r="D38" i="139"/>
  <c r="D37" i="139"/>
  <c r="D36" i="139"/>
  <c r="L36" i="139" s="1"/>
  <c r="O36" i="139" s="1"/>
  <c r="D35" i="139"/>
  <c r="L35" i="139" s="1"/>
  <c r="O35" i="139" s="1"/>
  <c r="D48" i="138"/>
  <c r="D37" i="138"/>
  <c r="D36" i="138"/>
  <c r="L36" i="138" s="1"/>
  <c r="O36" i="138" s="1"/>
  <c r="D35" i="138"/>
  <c r="L35" i="138" s="1"/>
  <c r="O35" i="138" s="1"/>
  <c r="C17" i="128"/>
  <c r="C16" i="128"/>
  <c r="D37" i="128" s="1"/>
  <c r="D47" i="37"/>
  <c r="D36" i="37"/>
  <c r="D35" i="37"/>
  <c r="D34" i="37"/>
  <c r="D53" i="140"/>
  <c r="L53" i="140" s="1"/>
  <c r="O53" i="140" s="1"/>
  <c r="D42" i="140"/>
  <c r="D41" i="140"/>
  <c r="D40" i="140"/>
  <c r="D47" i="126"/>
  <c r="L47" i="126" s="1"/>
  <c r="O47" i="126" s="1"/>
  <c r="D36" i="126"/>
  <c r="D35" i="126"/>
  <c r="D34" i="126"/>
  <c r="D33" i="126"/>
  <c r="L33" i="126" s="1"/>
  <c r="O33" i="126" s="1"/>
  <c r="C15" i="126"/>
  <c r="D39" i="126" s="1"/>
  <c r="N39" i="126" s="1"/>
  <c r="O39" i="126" s="1"/>
  <c r="D53" i="127"/>
  <c r="D42" i="127"/>
  <c r="D39" i="127"/>
  <c r="L39" i="127" s="1"/>
  <c r="O39" i="127" s="1"/>
  <c r="D46" i="119"/>
  <c r="D34" i="119"/>
  <c r="D33" i="119"/>
  <c r="D32" i="119"/>
  <c r="L32" i="119" s="1"/>
  <c r="O32" i="119" s="1"/>
  <c r="D31" i="119"/>
  <c r="D19" i="127"/>
  <c r="D41" i="127"/>
  <c r="D18" i="127"/>
  <c r="D40" i="127" s="1"/>
  <c r="D46" i="100"/>
  <c r="D35" i="100"/>
  <c r="D34" i="100"/>
  <c r="L34" i="100" s="1"/>
  <c r="O34" i="100" s="1"/>
  <c r="D33" i="100"/>
  <c r="L33" i="100" s="1"/>
  <c r="G34" i="100"/>
  <c r="G33" i="100"/>
  <c r="D52" i="34"/>
  <c r="D41" i="34"/>
  <c r="D40" i="34"/>
  <c r="D39" i="34"/>
  <c r="G33" i="119"/>
  <c r="G32" i="119"/>
  <c r="D67" i="142"/>
  <c r="P54" i="142"/>
  <c r="I54" i="142"/>
  <c r="J54" i="142"/>
  <c r="N54" i="142" s="1"/>
  <c r="O54" i="142" s="1"/>
  <c r="P53" i="142"/>
  <c r="I53" i="142"/>
  <c r="J53" i="142" s="1"/>
  <c r="P52" i="142"/>
  <c r="I52" i="142"/>
  <c r="J52" i="142" s="1"/>
  <c r="P51" i="142"/>
  <c r="I51" i="142"/>
  <c r="J51" i="142"/>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s="1"/>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c r="P52" i="141"/>
  <c r="I52" i="141"/>
  <c r="J52" i="141" s="1"/>
  <c r="P51" i="141"/>
  <c r="I51" i="141"/>
  <c r="J51" i="141" s="1"/>
  <c r="P50" i="141"/>
  <c r="I50" i="141"/>
  <c r="J50" i="141"/>
  <c r="P49" i="141"/>
  <c r="I49" i="141"/>
  <c r="N49" i="141" s="1"/>
  <c r="O49" i="141" s="1"/>
  <c r="P48" i="141"/>
  <c r="I48" i="141"/>
  <c r="J48" i="14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c r="C9" i="141"/>
  <c r="C8" i="141"/>
  <c r="A6" i="141"/>
  <c r="A4" i="141"/>
  <c r="C17" i="129"/>
  <c r="C17" i="40"/>
  <c r="J47" i="141"/>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s="1"/>
  <c r="P50" i="140"/>
  <c r="J50" i="140"/>
  <c r="P49" i="140"/>
  <c r="I49" i="140"/>
  <c r="P48" i="140"/>
  <c r="I48" i="140"/>
  <c r="J48" i="140"/>
  <c r="P47" i="140"/>
  <c r="I47" i="140"/>
  <c r="J47" i="140"/>
  <c r="P46" i="140"/>
  <c r="I46" i="140"/>
  <c r="J46" i="140" s="1"/>
  <c r="P44" i="140"/>
  <c r="H44" i="140"/>
  <c r="J44" i="140"/>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c r="P40" i="139"/>
  <c r="I40" i="139"/>
  <c r="J40" i="139" s="1"/>
  <c r="P38" i="139"/>
  <c r="P37" i="139"/>
  <c r="G37" i="139"/>
  <c r="J37" i="139" s="1"/>
  <c r="P36" i="139"/>
  <c r="G36" i="139"/>
  <c r="J36" i="139"/>
  <c r="P35" i="139"/>
  <c r="P34" i="139"/>
  <c r="I34" i="139"/>
  <c r="J34" i="139" s="1"/>
  <c r="P33" i="139"/>
  <c r="I33" i="139"/>
  <c r="J33" i="139"/>
  <c r="P32" i="139"/>
  <c r="I32" i="139"/>
  <c r="J32" i="139" s="1"/>
  <c r="P31" i="139"/>
  <c r="I31" i="139"/>
  <c r="J31" i="139"/>
  <c r="P30" i="139"/>
  <c r="I30" i="139"/>
  <c r="J30" i="139"/>
  <c r="P29" i="139"/>
  <c r="I29" i="139"/>
  <c r="J29" i="139" s="1"/>
  <c r="N23" i="139"/>
  <c r="O23" i="139"/>
  <c r="J23" i="139"/>
  <c r="C16" i="139"/>
  <c r="D40" i="139" s="1"/>
  <c r="N40" i="139" s="1"/>
  <c r="O40" i="139" s="1"/>
  <c r="C15" i="139"/>
  <c r="C14" i="139"/>
  <c r="D14" i="139" s="1"/>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c r="P49" i="138"/>
  <c r="I49" i="138"/>
  <c r="J49" i="138" s="1"/>
  <c r="P48" i="138"/>
  <c r="G48" i="138"/>
  <c r="J48" i="138"/>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c r="P35" i="138"/>
  <c r="P34" i="138"/>
  <c r="I34" i="138"/>
  <c r="J34" i="138"/>
  <c r="P33" i="138"/>
  <c r="I33" i="138"/>
  <c r="J33" i="138" s="1"/>
  <c r="P32" i="138"/>
  <c r="I32" i="138"/>
  <c r="J32" i="138" s="1"/>
  <c r="P31" i="138"/>
  <c r="I31" i="138"/>
  <c r="J31" i="138" s="1"/>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J35" i="138"/>
  <c r="J47" i="138"/>
  <c r="J43"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c r="O46" i="136" s="1"/>
  <c r="P45" i="136"/>
  <c r="I45" i="136"/>
  <c r="J45" i="136"/>
  <c r="P44" i="136"/>
  <c r="I44" i="136"/>
  <c r="J44" i="136"/>
  <c r="I43" i="136"/>
  <c r="J43" i="136"/>
  <c r="P42" i="136"/>
  <c r="I42" i="136"/>
  <c r="J42" i="136"/>
  <c r="P41" i="136"/>
  <c r="H41" i="136"/>
  <c r="J41" i="136" s="1"/>
  <c r="P40" i="136"/>
  <c r="H40" i="136"/>
  <c r="J40" i="136"/>
  <c r="P39" i="136"/>
  <c r="P38" i="136"/>
  <c r="I38" i="136"/>
  <c r="J38" i="136" s="1"/>
  <c r="P37" i="136"/>
  <c r="I37" i="136"/>
  <c r="J37" i="136"/>
  <c r="P36" i="136"/>
  <c r="I36" i="136"/>
  <c r="J36" i="136"/>
  <c r="P35" i="136"/>
  <c r="I35" i="136"/>
  <c r="J35" i="136" s="1"/>
  <c r="P34" i="136"/>
  <c r="I34" i="136"/>
  <c r="J34" i="136" s="1"/>
  <c r="P33" i="136"/>
  <c r="I33" i="136"/>
  <c r="J33" i="136" s="1"/>
  <c r="J28" i="136"/>
  <c r="J27" i="136"/>
  <c r="C17" i="136"/>
  <c r="C15" i="136"/>
  <c r="D15" i="136" s="1"/>
  <c r="C14" i="136"/>
  <c r="D14" i="136" s="1"/>
  <c r="I25" i="136" s="1"/>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c r="O48" i="133"/>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c r="P39" i="133"/>
  <c r="I39" i="133"/>
  <c r="J39" i="133" s="1"/>
  <c r="P38" i="133"/>
  <c r="I38" i="133"/>
  <c r="J38" i="133"/>
  <c r="N38" i="133" s="1"/>
  <c r="O38" i="133" s="1"/>
  <c r="P37" i="133"/>
  <c r="I37" i="133"/>
  <c r="J37" i="133"/>
  <c r="P36" i="133"/>
  <c r="H36" i="133"/>
  <c r="J36" i="133"/>
  <c r="P35" i="133"/>
  <c r="P34" i="133"/>
  <c r="I34" i="133"/>
  <c r="J34" i="133"/>
  <c r="P33" i="133"/>
  <c r="I33" i="133"/>
  <c r="J33" i="133" s="1"/>
  <c r="P32" i="133"/>
  <c r="I32" i="133"/>
  <c r="J32" i="133" s="1"/>
  <c r="P31" i="133"/>
  <c r="I31" i="133"/>
  <c r="J31" i="133"/>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c r="O45" i="132" s="1"/>
  <c r="P44" i="132"/>
  <c r="I44" i="132"/>
  <c r="J44" i="132" s="1"/>
  <c r="P43" i="132"/>
  <c r="I43" i="132"/>
  <c r="J43" i="132" s="1"/>
  <c r="N43" i="132" s="1"/>
  <c r="O43" i="132" s="1"/>
  <c r="P42" i="132"/>
  <c r="I42" i="132"/>
  <c r="J42" i="132"/>
  <c r="P41" i="132"/>
  <c r="I41" i="132"/>
  <c r="J41" i="132"/>
  <c r="P40" i="132"/>
  <c r="I40" i="132"/>
  <c r="J40" i="132" s="1"/>
  <c r="P39" i="132"/>
  <c r="I39" i="132"/>
  <c r="J39" i="132" s="1"/>
  <c r="P38" i="132"/>
  <c r="I38" i="132"/>
  <c r="J38" i="132"/>
  <c r="P37" i="132"/>
  <c r="I37" i="132"/>
  <c r="J37" i="132"/>
  <c r="P36" i="132"/>
  <c r="I36" i="132"/>
  <c r="J36" i="132"/>
  <c r="P34" i="132"/>
  <c r="H34" i="132"/>
  <c r="J34" i="132"/>
  <c r="P33" i="132"/>
  <c r="P32" i="132"/>
  <c r="I32" i="132"/>
  <c r="J32" i="132" s="1"/>
  <c r="P31" i="132"/>
  <c r="I31" i="132"/>
  <c r="J31" i="132"/>
  <c r="P30" i="132"/>
  <c r="I30" i="132"/>
  <c r="J30" i="132"/>
  <c r="P29" i="132"/>
  <c r="I29" i="132"/>
  <c r="J29" i="132" s="1"/>
  <c r="P28" i="132"/>
  <c r="I28" i="132"/>
  <c r="J28" i="132" s="1"/>
  <c r="P27" i="132"/>
  <c r="I27" i="132"/>
  <c r="J27" i="132"/>
  <c r="P26" i="132"/>
  <c r="I26" i="132"/>
  <c r="J26" i="132"/>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c r="P50" i="131"/>
  <c r="I50" i="131"/>
  <c r="J50" i="131"/>
  <c r="P49" i="131"/>
  <c r="I49" i="131"/>
  <c r="J49" i="131" s="1"/>
  <c r="N49" i="131" s="1"/>
  <c r="O49" i="131" s="1"/>
  <c r="P48" i="131"/>
  <c r="I48" i="131"/>
  <c r="J48" i="131"/>
  <c r="P47" i="131"/>
  <c r="I47" i="131"/>
  <c r="N47" i="131"/>
  <c r="O47" i="131" s="1"/>
  <c r="P46" i="131"/>
  <c r="I46" i="131"/>
  <c r="J46" i="131" s="1"/>
  <c r="P45" i="131"/>
  <c r="I45" i="131"/>
  <c r="N45" i="131" s="1"/>
  <c r="O45" i="131" s="1"/>
  <c r="P44" i="131"/>
  <c r="I44" i="131"/>
  <c r="J44" i="131" s="1"/>
  <c r="P43" i="131"/>
  <c r="I43" i="131"/>
  <c r="J43" i="131"/>
  <c r="P42" i="131"/>
  <c r="I42" i="131"/>
  <c r="J42" i="131"/>
  <c r="P40" i="131"/>
  <c r="H40" i="131"/>
  <c r="J40" i="131" s="1"/>
  <c r="P39" i="131"/>
  <c r="P38" i="131"/>
  <c r="I38" i="131"/>
  <c r="J38" i="131"/>
  <c r="P37" i="131"/>
  <c r="I37" i="131"/>
  <c r="J37" i="13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c r="O59" i="130" s="1"/>
  <c r="P58" i="130"/>
  <c r="I58" i="130"/>
  <c r="J58" i="130"/>
  <c r="P57" i="130"/>
  <c r="I57" i="130"/>
  <c r="J57" i="130" s="1"/>
  <c r="P56" i="130"/>
  <c r="I56" i="130"/>
  <c r="J56" i="130" s="1"/>
  <c r="P55" i="130"/>
  <c r="I55" i="130"/>
  <c r="J55" i="130"/>
  <c r="P53" i="130"/>
  <c r="I53" i="130"/>
  <c r="J53" i="130"/>
  <c r="P52" i="130"/>
  <c r="I52" i="130"/>
  <c r="J52" i="130" s="1"/>
  <c r="P51" i="130"/>
  <c r="J51" i="130"/>
  <c r="P50" i="130"/>
  <c r="J50" i="130"/>
  <c r="P49" i="130"/>
  <c r="I49" i="130"/>
  <c r="J49" i="130" s="1"/>
  <c r="P48" i="130"/>
  <c r="I48" i="130"/>
  <c r="J48" i="130"/>
  <c r="P47" i="130"/>
  <c r="I47" i="130"/>
  <c r="J47" i="130" s="1"/>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s="1"/>
  <c r="I59" i="129"/>
  <c r="J59" i="129"/>
  <c r="H45" i="129"/>
  <c r="J45" i="129" s="1"/>
  <c r="H44" i="129"/>
  <c r="J44" i="129"/>
  <c r="D73" i="129"/>
  <c r="P60" i="129"/>
  <c r="I60" i="129"/>
  <c r="J60" i="129"/>
  <c r="N60" i="129"/>
  <c r="O60" i="129" s="1"/>
  <c r="P59" i="129"/>
  <c r="P58" i="129"/>
  <c r="I58" i="129"/>
  <c r="J58" i="129"/>
  <c r="P57" i="129"/>
  <c r="I57" i="129"/>
  <c r="J57" i="129" s="1"/>
  <c r="P56" i="129"/>
  <c r="I56" i="129"/>
  <c r="J56" i="129"/>
  <c r="P54" i="129"/>
  <c r="I54" i="129"/>
  <c r="J54" i="129" s="1"/>
  <c r="P53" i="129"/>
  <c r="I53" i="129"/>
  <c r="J53" i="129" s="1"/>
  <c r="P52" i="129"/>
  <c r="J52" i="129"/>
  <c r="P51" i="129"/>
  <c r="J51" i="129"/>
  <c r="P50" i="129"/>
  <c r="I50" i="129"/>
  <c r="P49" i="129"/>
  <c r="I49" i="129"/>
  <c r="J49" i="129" s="1"/>
  <c r="P48" i="129"/>
  <c r="I48" i="129"/>
  <c r="J48" i="129"/>
  <c r="P47" i="129"/>
  <c r="I47" i="129"/>
  <c r="J47" i="129"/>
  <c r="P46" i="129"/>
  <c r="I46" i="129"/>
  <c r="J46" i="129" s="1"/>
  <c r="P45" i="129"/>
  <c r="P44" i="129"/>
  <c r="P43" i="129"/>
  <c r="P42" i="129"/>
  <c r="G42" i="129"/>
  <c r="J42" i="129" s="1"/>
  <c r="P40" i="129"/>
  <c r="P39" i="129"/>
  <c r="I39" i="129"/>
  <c r="J39" i="129"/>
  <c r="P38" i="129"/>
  <c r="I38" i="129"/>
  <c r="J38" i="129" s="1"/>
  <c r="P37" i="129"/>
  <c r="I37" i="129"/>
  <c r="J37" i="129" s="1"/>
  <c r="P36" i="129"/>
  <c r="I36" i="129"/>
  <c r="J36" i="129"/>
  <c r="P35" i="129"/>
  <c r="I35" i="129"/>
  <c r="J35" i="129" s="1"/>
  <c r="P34" i="129"/>
  <c r="I34" i="129"/>
  <c r="J34" i="129" s="1"/>
  <c r="J29" i="129"/>
  <c r="J28" i="129"/>
  <c r="N26" i="129"/>
  <c r="O26" i="129"/>
  <c r="J26" i="129"/>
  <c r="C15" i="129"/>
  <c r="C14" i="129"/>
  <c r="D10" i="129"/>
  <c r="B10" i="129"/>
  <c r="C10" i="129" s="1"/>
  <c r="C9" i="129"/>
  <c r="C8" i="129"/>
  <c r="A6" i="129"/>
  <c r="A4" i="129"/>
  <c r="P60" i="40"/>
  <c r="I60" i="40"/>
  <c r="J60" i="40"/>
  <c r="N60" i="40"/>
  <c r="O60" i="40" s="1"/>
  <c r="P59" i="40"/>
  <c r="I59" i="40"/>
  <c r="J59" i="40" s="1"/>
  <c r="P51" i="119"/>
  <c r="I51" i="119"/>
  <c r="J51" i="119"/>
  <c r="N51" i="119"/>
  <c r="O51" i="119" s="1"/>
  <c r="P50" i="119"/>
  <c r="I50" i="119"/>
  <c r="J50" i="119" s="1"/>
  <c r="N50" i="119" s="1"/>
  <c r="O50" i="119" s="1"/>
  <c r="D50" i="119"/>
  <c r="P53" i="128"/>
  <c r="I53" i="128"/>
  <c r="J53" i="128"/>
  <c r="N53" i="128" s="1"/>
  <c r="O53" i="128" s="1"/>
  <c r="P52" i="128"/>
  <c r="I52" i="128"/>
  <c r="J52" i="128" s="1"/>
  <c r="P52" i="37"/>
  <c r="I52" i="37"/>
  <c r="J52" i="37"/>
  <c r="N52" i="37"/>
  <c r="O52" i="37" s="1"/>
  <c r="P51" i="37"/>
  <c r="I51" i="37"/>
  <c r="J51" i="37"/>
  <c r="P57" i="127"/>
  <c r="I57" i="127"/>
  <c r="J57" i="127"/>
  <c r="N57" i="127"/>
  <c r="O57" i="127" s="1"/>
  <c r="P56" i="127"/>
  <c r="I56" i="127"/>
  <c r="J56" i="127" s="1"/>
  <c r="N56" i="127" s="1"/>
  <c r="O56" i="127" s="1"/>
  <c r="D56" i="127"/>
  <c r="P51" i="126"/>
  <c r="I51" i="126"/>
  <c r="J51" i="126"/>
  <c r="N51" i="126" s="1"/>
  <c r="O51" i="126"/>
  <c r="P50" i="126"/>
  <c r="I50" i="126"/>
  <c r="J50" i="126" s="1"/>
  <c r="P50" i="100"/>
  <c r="I50" i="100"/>
  <c r="J50" i="100" s="1"/>
  <c r="N50" i="100" s="1"/>
  <c r="O50" i="100" s="1"/>
  <c r="P49" i="100"/>
  <c r="I49" i="100"/>
  <c r="J49" i="100" s="1"/>
  <c r="I31" i="100"/>
  <c r="J31" i="100"/>
  <c r="I37" i="34"/>
  <c r="J37" i="34" s="1"/>
  <c r="I32" i="100"/>
  <c r="J32" i="100" s="1"/>
  <c r="P56" i="34"/>
  <c r="I56" i="34"/>
  <c r="J56" i="34"/>
  <c r="N56" i="34"/>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s="1"/>
  <c r="P48" i="128"/>
  <c r="G48" i="128"/>
  <c r="J48" i="128"/>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1" i="128" s="1"/>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c r="P47" i="127"/>
  <c r="I47" i="127"/>
  <c r="J47" i="127" s="1"/>
  <c r="P46" i="127"/>
  <c r="I46" i="127"/>
  <c r="J46" i="127" s="1"/>
  <c r="P44" i="127"/>
  <c r="H44" i="127"/>
  <c r="J44" i="127"/>
  <c r="P43" i="127"/>
  <c r="P42" i="127"/>
  <c r="G42" i="127"/>
  <c r="J42" i="127"/>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D48" i="120"/>
  <c r="I43" i="127" s="1"/>
  <c r="J43" i="127" s="1"/>
  <c r="N43" i="127" s="1"/>
  <c r="O43" i="127" s="1"/>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s="1"/>
  <c r="P25" i="119"/>
  <c r="I26" i="119"/>
  <c r="J26" i="119" s="1"/>
  <c r="P26" i="119"/>
  <c r="I27" i="119"/>
  <c r="J27" i="119"/>
  <c r="P27" i="119"/>
  <c r="I28" i="119"/>
  <c r="J28" i="119" s="1"/>
  <c r="P28" i="119"/>
  <c r="I29" i="119"/>
  <c r="J29" i="119" s="1"/>
  <c r="P29" i="119"/>
  <c r="I30" i="119"/>
  <c r="J30" i="119"/>
  <c r="P30" i="119"/>
  <c r="P31" i="119"/>
  <c r="J32" i="119"/>
  <c r="J33" i="119"/>
  <c r="G34" i="119"/>
  <c r="J34" i="119" s="1"/>
  <c r="P34" i="119"/>
  <c r="P35" i="119"/>
  <c r="H36" i="119"/>
  <c r="J36" i="119" s="1"/>
  <c r="P36" i="119"/>
  <c r="I37" i="119"/>
  <c r="J37" i="119"/>
  <c r="P37" i="119"/>
  <c r="I38" i="119"/>
  <c r="J38" i="119" s="1"/>
  <c r="N38" i="119" s="1"/>
  <c r="O38" i="119" s="1"/>
  <c r="P38" i="119"/>
  <c r="I39" i="119"/>
  <c r="J39" i="119"/>
  <c r="P39" i="119"/>
  <c r="I40" i="119"/>
  <c r="J40" i="119" s="1"/>
  <c r="P40" i="119"/>
  <c r="I41" i="119"/>
  <c r="N41" i="119" s="1"/>
  <c r="O41" i="119" s="1"/>
  <c r="P41" i="119"/>
  <c r="J42" i="119"/>
  <c r="P42" i="119"/>
  <c r="J43" i="119"/>
  <c r="P43" i="119"/>
  <c r="I44" i="119"/>
  <c r="J44" i="119"/>
  <c r="P44" i="119"/>
  <c r="G46" i="119"/>
  <c r="J46" i="119" s="1"/>
  <c r="P46" i="119"/>
  <c r="I47" i="119"/>
  <c r="J47" i="119" s="1"/>
  <c r="P47" i="119"/>
  <c r="A4" i="40"/>
  <c r="A6" i="40"/>
  <c r="C8" i="40"/>
  <c r="C9" i="40"/>
  <c r="B10" i="40"/>
  <c r="C10" i="40" s="1"/>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c r="P44" i="40"/>
  <c r="H45" i="40"/>
  <c r="J45" i="40" s="1"/>
  <c r="P45" i="40"/>
  <c r="I46" i="40"/>
  <c r="J46" i="40" s="1"/>
  <c r="P46" i="40"/>
  <c r="I47" i="40"/>
  <c r="J47" i="40"/>
  <c r="P47" i="40"/>
  <c r="I48" i="40"/>
  <c r="J48" i="40" s="1"/>
  <c r="P48" i="40"/>
  <c r="I49" i="40"/>
  <c r="J49" i="40"/>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s="1"/>
  <c r="P27" i="37"/>
  <c r="I28" i="37"/>
  <c r="J28" i="37" s="1"/>
  <c r="P28" i="37"/>
  <c r="I29" i="37"/>
  <c r="J29" i="37"/>
  <c r="P29" i="37"/>
  <c r="I30" i="37"/>
  <c r="J30" i="37" s="1"/>
  <c r="P30" i="37"/>
  <c r="I31" i="37"/>
  <c r="J31" i="37" s="1"/>
  <c r="P31" i="37"/>
  <c r="I32" i="37"/>
  <c r="J32" i="37"/>
  <c r="P32" i="37"/>
  <c r="I33" i="37"/>
  <c r="J33" i="37"/>
  <c r="P33" i="37"/>
  <c r="P34" i="37"/>
  <c r="G35" i="37"/>
  <c r="J35" i="37"/>
  <c r="P35" i="37"/>
  <c r="G36" i="37"/>
  <c r="J36" i="37" s="1"/>
  <c r="P36" i="37"/>
  <c r="P37" i="37"/>
  <c r="H38" i="37"/>
  <c r="J38" i="37"/>
  <c r="P38" i="37"/>
  <c r="I39" i="37"/>
  <c r="J39" i="37"/>
  <c r="P39" i="37"/>
  <c r="I40" i="37"/>
  <c r="J40" i="37" s="1"/>
  <c r="N40" i="37" s="1"/>
  <c r="O40" i="37" s="1"/>
  <c r="P40" i="37"/>
  <c r="I41" i="37"/>
  <c r="J41" i="37"/>
  <c r="P41" i="37"/>
  <c r="I42" i="37"/>
  <c r="J42" i="37" s="1"/>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s="1"/>
  <c r="P25" i="126"/>
  <c r="I26" i="126"/>
  <c r="J26" i="126" s="1"/>
  <c r="P26" i="126"/>
  <c r="I27" i="126"/>
  <c r="J27" i="126"/>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s="1"/>
  <c r="P36" i="126"/>
  <c r="P37" i="126"/>
  <c r="H38" i="126"/>
  <c r="J38" i="126" s="1"/>
  <c r="P38" i="126"/>
  <c r="I40" i="126"/>
  <c r="J40" i="126"/>
  <c r="P40" i="126"/>
  <c r="I41" i="126"/>
  <c r="J41" i="126" s="1"/>
  <c r="P41" i="126"/>
  <c r="I42" i="126"/>
  <c r="J42" i="126" s="1"/>
  <c r="P42" i="126"/>
  <c r="I43" i="126"/>
  <c r="J43" i="126" s="1"/>
  <c r="P43" i="126"/>
  <c r="J44" i="126"/>
  <c r="P44" i="126"/>
  <c r="I45" i="126"/>
  <c r="J45" i="126" s="1"/>
  <c r="P45" i="126"/>
  <c r="G47" i="126"/>
  <c r="J47" i="126"/>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c r="P37" i="100"/>
  <c r="I39" i="100"/>
  <c r="J39" i="100"/>
  <c r="P39" i="100"/>
  <c r="I40" i="100"/>
  <c r="J40" i="100" s="1"/>
  <c r="P40" i="100"/>
  <c r="I41" i="100"/>
  <c r="J41" i="100"/>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c r="P36" i="34"/>
  <c r="P37" i="34"/>
  <c r="P38" i="34"/>
  <c r="G40" i="34"/>
  <c r="J40" i="34"/>
  <c r="P40" i="34"/>
  <c r="G41" i="34"/>
  <c r="J41" i="34"/>
  <c r="P41" i="34"/>
  <c r="P42" i="34"/>
  <c r="H43" i="34"/>
  <c r="J43" i="34" s="1"/>
  <c r="P43" i="34"/>
  <c r="I45" i="34"/>
  <c r="J45" i="34"/>
  <c r="P45" i="34"/>
  <c r="I46" i="34"/>
  <c r="J46" i="34"/>
  <c r="P46" i="34"/>
  <c r="I47" i="34"/>
  <c r="J47" i="34"/>
  <c r="P47" i="34"/>
  <c r="I48" i="34"/>
  <c r="N48" i="34"/>
  <c r="O48" i="34" s="1"/>
  <c r="P48" i="34"/>
  <c r="J49" i="34"/>
  <c r="P49" i="34"/>
  <c r="I50" i="34"/>
  <c r="J50" i="34"/>
  <c r="P50" i="34"/>
  <c r="G52" i="34"/>
  <c r="J52" i="34"/>
  <c r="P52" i="34"/>
  <c r="I53" i="34"/>
  <c r="J53" i="34" s="1"/>
  <c r="P53" i="34"/>
  <c r="E18" i="1"/>
  <c r="C19" i="136"/>
  <c r="D29" i="1"/>
  <c r="D30" i="1" s="1"/>
  <c r="J22" i="37"/>
  <c r="J20" i="119"/>
  <c r="J20" i="126"/>
  <c r="D32" i="37"/>
  <c r="N32" i="37" s="1"/>
  <c r="O32" i="37" s="1"/>
  <c r="J51" i="34"/>
  <c r="I38" i="152"/>
  <c r="J38" i="152" s="1"/>
  <c r="I38" i="153"/>
  <c r="J38" i="153" s="1"/>
  <c r="I38" i="151"/>
  <c r="J38" i="151"/>
  <c r="I38" i="148"/>
  <c r="J38" i="148" s="1"/>
  <c r="I38" i="149"/>
  <c r="J38" i="149"/>
  <c r="I38" i="147"/>
  <c r="J38" i="147"/>
  <c r="I38" i="144"/>
  <c r="J38" i="144" s="1"/>
  <c r="I38" i="145"/>
  <c r="J38" i="145"/>
  <c r="C20" i="40"/>
  <c r="D17" i="40"/>
  <c r="N43" i="126"/>
  <c r="O43" i="126" s="1"/>
  <c r="C20" i="141"/>
  <c r="C20" i="142"/>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D31" i="37"/>
  <c r="D28" i="37"/>
  <c r="D51" i="37"/>
  <c r="N51" i="37" s="1"/>
  <c r="O51" i="37" s="1"/>
  <c r="I39" i="136"/>
  <c r="J39" i="136" s="1"/>
  <c r="J48" i="34"/>
  <c r="I35" i="119"/>
  <c r="J35" i="119" s="1"/>
  <c r="N39" i="132"/>
  <c r="O39" i="132" s="1"/>
  <c r="I36" i="100"/>
  <c r="J36" i="100" s="1"/>
  <c r="N36" i="100" s="1"/>
  <c r="O36" i="100" s="1"/>
  <c r="I37" i="37"/>
  <c r="J37" i="37" s="1"/>
  <c r="I38" i="128"/>
  <c r="J38" i="128"/>
  <c r="J54" i="40"/>
  <c r="J22" i="128"/>
  <c r="I43" i="40"/>
  <c r="J43" i="40"/>
  <c r="N46" i="126"/>
  <c r="O46" i="126"/>
  <c r="C20" i="129"/>
  <c r="N53" i="130"/>
  <c r="O53" i="130"/>
  <c r="L36" i="128"/>
  <c r="O36" i="128" s="1"/>
  <c r="I43" i="129"/>
  <c r="J43" i="129"/>
  <c r="J46" i="37"/>
  <c r="I42" i="130"/>
  <c r="J42" i="130" s="1"/>
  <c r="J43" i="37"/>
  <c r="N43" i="37"/>
  <c r="O43" i="37" s="1"/>
  <c r="N50" i="129"/>
  <c r="O50" i="129" s="1"/>
  <c r="J50" i="129"/>
  <c r="J47" i="37"/>
  <c r="J44" i="128"/>
  <c r="N44" i="128"/>
  <c r="O44" i="128" s="1"/>
  <c r="J41" i="119"/>
  <c r="L33" i="119"/>
  <c r="O33" i="119" s="1"/>
  <c r="J40" i="129"/>
  <c r="J33" i="126"/>
  <c r="J46" i="136"/>
  <c r="N48" i="136"/>
  <c r="O48" i="136" s="1"/>
  <c r="D17" i="136"/>
  <c r="D47" i="133"/>
  <c r="N47" i="133" s="1"/>
  <c r="O47" i="133" s="1"/>
  <c r="O21" i="133"/>
  <c r="N43" i="133"/>
  <c r="O43" i="133"/>
  <c r="D33" i="133"/>
  <c r="N33" i="133" s="1"/>
  <c r="O33" i="133" s="1"/>
  <c r="D46" i="133"/>
  <c r="N46" i="133" s="1"/>
  <c r="O46" i="133" s="1"/>
  <c r="N41" i="132"/>
  <c r="O41" i="132"/>
  <c r="O19" i="132"/>
  <c r="J47" i="131"/>
  <c r="O25" i="131"/>
  <c r="D56" i="129"/>
  <c r="N56" i="129" s="1"/>
  <c r="O56" i="129" s="1"/>
  <c r="J20" i="100"/>
  <c r="L39" i="34"/>
  <c r="O39" i="34" s="1"/>
  <c r="D19" i="40"/>
  <c r="D17" i="142"/>
  <c r="D19" i="142"/>
  <c r="D15" i="142"/>
  <c r="D15" i="129"/>
  <c r="D19" i="129"/>
  <c r="D17" i="129"/>
  <c r="D19" i="141"/>
  <c r="D17" i="141"/>
  <c r="D15" i="130"/>
  <c r="D17" i="130"/>
  <c r="N23" i="37"/>
  <c r="D41" i="37" s="1"/>
  <c r="N41" i="37" s="1"/>
  <c r="O41" i="37" s="1"/>
  <c r="L55" i="136"/>
  <c r="L57" i="136"/>
  <c r="L52" i="133"/>
  <c r="O60" i="133"/>
  <c r="L53" i="131"/>
  <c r="L55" i="131"/>
  <c r="J34" i="37"/>
  <c r="L47" i="132"/>
  <c r="L49" i="132"/>
  <c r="D51" i="136" l="1"/>
  <c r="N51" i="136" s="1"/>
  <c r="O51" i="136" s="1"/>
  <c r="D51" i="128"/>
  <c r="J44" i="145"/>
  <c r="J44" i="149"/>
  <c r="N47" i="158"/>
  <c r="O47" i="158" s="1"/>
  <c r="N44" i="151"/>
  <c r="O44" i="151" s="1"/>
  <c r="J50" i="155"/>
  <c r="L42" i="155"/>
  <c r="O42" i="155" s="1"/>
  <c r="D58" i="129"/>
  <c r="N58" i="129" s="1"/>
  <c r="O58" i="129" s="1"/>
  <c r="D16" i="129"/>
  <c r="D27" i="129" s="1"/>
  <c r="D44" i="129"/>
  <c r="M44" i="129" s="1"/>
  <c r="O44" i="129" s="1"/>
  <c r="C18" i="129"/>
  <c r="D18" i="129" s="1"/>
  <c r="C18" i="142"/>
  <c r="D18" i="142" s="1"/>
  <c r="D29" i="142" s="1"/>
  <c r="N29" i="142" s="1"/>
  <c r="O29" i="142" s="1"/>
  <c r="C18" i="141"/>
  <c r="D18" i="141" s="1"/>
  <c r="D29" i="141" s="1"/>
  <c r="N29" i="141" s="1"/>
  <c r="O29" i="141" s="1"/>
  <c r="C18" i="40"/>
  <c r="D18" i="40" s="1"/>
  <c r="D29" i="40" s="1"/>
  <c r="N29" i="40" s="1"/>
  <c r="O29" i="40" s="1"/>
  <c r="D16" i="139"/>
  <c r="D52" i="139" s="1"/>
  <c r="N52" i="139" s="1"/>
  <c r="O52" i="139" s="1"/>
  <c r="D38" i="147"/>
  <c r="D36" i="160"/>
  <c r="D35" i="160"/>
  <c r="D37" i="160" s="1"/>
  <c r="D39" i="160"/>
  <c r="D49" i="119"/>
  <c r="N49" i="119" s="1"/>
  <c r="O49" i="119" s="1"/>
  <c r="D52" i="144"/>
  <c r="N52" i="144" s="1"/>
  <c r="O52" i="144" s="1"/>
  <c r="D51" i="160"/>
  <c r="N51" i="160" s="1"/>
  <c r="O51" i="160" s="1"/>
  <c r="D49" i="139"/>
  <c r="N49" i="139" s="1"/>
  <c r="O49" i="139" s="1"/>
  <c r="D50" i="144"/>
  <c r="D39" i="144"/>
  <c r="M39" i="144" s="1"/>
  <c r="O39" i="144" s="1"/>
  <c r="D48" i="149"/>
  <c r="L48" i="149" s="1"/>
  <c r="O48" i="149" s="1"/>
  <c r="D50" i="160"/>
  <c r="N50" i="160" s="1"/>
  <c r="O50" i="160" s="1"/>
  <c r="D33" i="160"/>
  <c r="N33" i="160" s="1"/>
  <c r="O33" i="160" s="1"/>
  <c r="D37" i="119"/>
  <c r="N37" i="119" s="1"/>
  <c r="O37" i="119" s="1"/>
  <c r="D48" i="119"/>
  <c r="N48" i="119" s="1"/>
  <c r="O48" i="119" s="1"/>
  <c r="D30" i="144"/>
  <c r="N30" i="144" s="1"/>
  <c r="O30" i="144" s="1"/>
  <c r="D49" i="160"/>
  <c r="D42" i="160"/>
  <c r="N42" i="160" s="1"/>
  <c r="O42" i="160" s="1"/>
  <c r="D45" i="157"/>
  <c r="N45" i="157"/>
  <c r="O45" i="157" s="1"/>
  <c r="C18" i="159"/>
  <c r="D18" i="159" s="1"/>
  <c r="D29" i="159" s="1"/>
  <c r="N29" i="159" s="1"/>
  <c r="O29" i="159" s="1"/>
  <c r="I15" i="157"/>
  <c r="J47" i="145"/>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O28" i="37" s="1"/>
  <c r="I39" i="146"/>
  <c r="J39" i="146" s="1"/>
  <c r="N39" i="146" s="1"/>
  <c r="O39" i="146" s="1"/>
  <c r="J43" i="139"/>
  <c r="M42" i="141"/>
  <c r="J44" i="147"/>
  <c r="J49" i="142"/>
  <c r="N49" i="142"/>
  <c r="O49" i="142" s="1"/>
  <c r="I33" i="132"/>
  <c r="J33" i="132" s="1"/>
  <c r="N33" i="132" s="1"/>
  <c r="O33" i="132"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O41" i="34" s="1"/>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O39" i="130" s="1"/>
  <c r="N51" i="144"/>
  <c r="O51" i="144" s="1"/>
  <c r="N52" i="153"/>
  <c r="O52" i="153" s="1"/>
  <c r="J47" i="152"/>
  <c r="L41" i="156"/>
  <c r="O41" i="156" s="1"/>
  <c r="I42" i="157"/>
  <c r="J42" i="157" s="1"/>
  <c r="N52" i="128"/>
  <c r="O52" i="128" s="1"/>
  <c r="L31" i="119"/>
  <c r="O31" i="119" s="1"/>
  <c r="L48" i="139"/>
  <c r="O48" i="139" s="1"/>
  <c r="L40" i="130"/>
  <c r="O40" i="130" s="1"/>
  <c r="L34" i="144"/>
  <c r="O34" i="144" s="1"/>
  <c r="N47" i="149"/>
  <c r="O47" i="149" s="1"/>
  <c r="M39" i="149"/>
  <c r="I40" i="159"/>
  <c r="J40" i="159" s="1"/>
  <c r="L40" i="155"/>
  <c r="L40" i="157"/>
  <c r="O40" i="157" s="1"/>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4" i="132"/>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O36" i="126" s="1"/>
  <c r="D39" i="136"/>
  <c r="N39" i="136" s="1"/>
  <c r="O39" i="136" s="1"/>
  <c r="D38" i="128"/>
  <c r="N38" i="128" s="1"/>
  <c r="O38" i="128" s="1"/>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N50" i="136" s="1"/>
  <c r="O50" i="136" s="1"/>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44"/>
  <c r="O50" i="144" s="1"/>
  <c r="N49" i="37"/>
  <c r="O49" i="37" s="1"/>
  <c r="N38" i="139"/>
  <c r="O38" i="139"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L62" i="40"/>
  <c r="L64" i="40" s="1"/>
  <c r="O71" i="40" s="1"/>
  <c r="O41" i="40"/>
  <c r="D33" i="34"/>
  <c r="N33" i="34" s="1"/>
  <c r="O33" i="34" s="1"/>
  <c r="D55" i="34"/>
  <c r="N55" i="34" s="1"/>
  <c r="O55" i="34" s="1"/>
  <c r="D36" i="130"/>
  <c r="N36" i="130" s="1"/>
  <c r="O36" i="130" s="1"/>
  <c r="D31" i="34"/>
  <c r="N31" i="34" s="1"/>
  <c r="O31" i="34" s="1"/>
  <c r="M55" i="147"/>
  <c r="M57" i="147"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34" i="130" s="1"/>
  <c r="D26" i="131"/>
  <c r="N26" i="131" s="1"/>
  <c r="O26" i="131" s="1"/>
  <c r="O27" i="131" s="1"/>
  <c r="D35" i="149"/>
  <c r="L35" i="149" s="1"/>
  <c r="O35" i="149" s="1"/>
  <c r="D22" i="146"/>
  <c r="N22" i="146" s="1"/>
  <c r="N24" i="146" s="1"/>
  <c r="D48" i="152"/>
  <c r="L48" i="152" s="1"/>
  <c r="O48" i="152" s="1"/>
  <c r="N23" i="144"/>
  <c r="O22" i="144"/>
  <c r="O23" i="144" s="1"/>
  <c r="O40" i="129"/>
  <c r="D43" i="119"/>
  <c r="O43" i="119" s="1"/>
  <c r="N26" i="119"/>
  <c r="O26" i="119" s="1"/>
  <c r="O33" i="100"/>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D22" i="149"/>
  <c r="N22" i="149" s="1"/>
  <c r="D27" i="152"/>
  <c r="N27" i="152" s="1"/>
  <c r="O27" i="152" s="1"/>
  <c r="D57" i="40"/>
  <c r="N57" i="40" s="1"/>
  <c r="O57" i="40" s="1"/>
  <c r="D27" i="119"/>
  <c r="N27" i="119" s="1"/>
  <c r="O27" i="119" s="1"/>
  <c r="D31" i="138"/>
  <c r="N31" i="138" s="1"/>
  <c r="O31" i="138" s="1"/>
  <c r="D20" i="119"/>
  <c r="N20" i="119" s="1"/>
  <c r="D34" i="128"/>
  <c r="L34" i="128" s="1"/>
  <c r="O34" i="128" s="1"/>
  <c r="D50" i="152"/>
  <c r="N50" i="152" s="1"/>
  <c r="O50" i="152" s="1"/>
  <c r="D39" i="152"/>
  <c r="M39" i="152" s="1"/>
  <c r="D36" i="40"/>
  <c r="N36" i="40" s="1"/>
  <c r="O36" i="40" s="1"/>
  <c r="D34" i="40"/>
  <c r="D35" i="40" s="1"/>
  <c r="D52" i="40" s="1"/>
  <c r="O52" i="40" s="1"/>
  <c r="D36" i="119"/>
  <c r="M36" i="119" s="1"/>
  <c r="M53" i="119" s="1"/>
  <c r="M55" i="119" s="1"/>
  <c r="D35" i="128"/>
  <c r="L35" i="128" s="1"/>
  <c r="O35" i="128" s="1"/>
  <c r="D32" i="138"/>
  <c r="D25" i="119"/>
  <c r="D48" i="128"/>
  <c r="L48" i="128" s="1"/>
  <c r="D45" i="152"/>
  <c r="O45" i="152" s="1"/>
  <c r="D29" i="152"/>
  <c r="N29" i="152" s="1"/>
  <c r="O29" i="152" s="1"/>
  <c r="D37" i="152"/>
  <c r="L37" i="152" s="1"/>
  <c r="O37" i="152"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30" i="138" s="1"/>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47" i="132"/>
  <c r="M49" i="132" s="1"/>
  <c r="M55" i="149"/>
  <c r="M57" i="149" s="1"/>
  <c r="O39" i="149"/>
  <c r="D59" i="129"/>
  <c r="N59" i="129" s="1"/>
  <c r="O59" i="129" s="1"/>
  <c r="D37" i="151"/>
  <c r="L37" i="151" s="1"/>
  <c r="O37" i="151" s="1"/>
  <c r="D35" i="151"/>
  <c r="L35" i="151" s="1"/>
  <c r="D48" i="151"/>
  <c r="L48" i="151" s="1"/>
  <c r="O48" i="151" s="1"/>
  <c r="O22" i="154"/>
  <c r="D58" i="130"/>
  <c r="N58" i="130" s="1"/>
  <c r="O58" i="130" s="1"/>
  <c r="D26" i="130"/>
  <c r="D36" i="141"/>
  <c r="N36" i="141" s="1"/>
  <c r="O36" i="141" s="1"/>
  <c r="D51" i="141"/>
  <c r="N51" i="141" s="1"/>
  <c r="O51" i="141" s="1"/>
  <c r="D37" i="141"/>
  <c r="N37" i="141" s="1"/>
  <c r="O37" i="141" s="1"/>
  <c r="D41" i="141"/>
  <c r="M41" i="141" s="1"/>
  <c r="O41" i="141" s="1"/>
  <c r="O65" i="141"/>
  <c r="D50" i="141"/>
  <c r="N50" i="141" s="1"/>
  <c r="O50" i="141" s="1"/>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0" i="139" s="1"/>
  <c r="D39" i="139"/>
  <c r="M39" i="139"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40" i="158"/>
  <c r="N40" i="158" s="1"/>
  <c r="O40" i="158" s="1"/>
  <c r="I15" i="138"/>
  <c r="D52" i="149"/>
  <c r="N52" i="149" s="1"/>
  <c r="O52" i="149" s="1"/>
  <c r="D32" i="149"/>
  <c r="N32" i="149" s="1"/>
  <c r="O32" i="149" s="1"/>
  <c r="D34" i="156"/>
  <c r="D35" i="156" s="1"/>
  <c r="D52" i="156" s="1"/>
  <c r="O52" i="156" s="1"/>
  <c r="D34" i="157"/>
  <c r="D36" i="157"/>
  <c r="N36" i="157" s="1"/>
  <c r="O36" i="157" s="1"/>
  <c r="N39" i="160"/>
  <c r="O39" i="160" s="1"/>
  <c r="N49" i="160"/>
  <c r="O49" i="160" s="1"/>
  <c r="D57" i="157"/>
  <c r="N57" i="157" s="1"/>
  <c r="O57" i="157" s="1"/>
  <c r="D16" i="160"/>
  <c r="L41" i="155"/>
  <c r="O41" i="155" s="1"/>
  <c r="D16" i="156"/>
  <c r="D43" i="156"/>
  <c r="N43" i="156" s="1"/>
  <c r="O43" i="156" s="1"/>
  <c r="D56" i="156"/>
  <c r="N56" i="156" s="1"/>
  <c r="O56" i="156" s="1"/>
  <c r="L54" i="157"/>
  <c r="O54" i="157" s="1"/>
  <c r="I15" i="159"/>
  <c r="I15" i="160"/>
  <c r="D15" i="138"/>
  <c r="D15" i="139"/>
  <c r="I15" i="141"/>
  <c r="I15" i="155"/>
  <c r="I15" i="156"/>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M40" i="160"/>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5"/>
  <c r="N58" i="156"/>
  <c r="O58" i="156"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L52" i="100" l="1"/>
  <c r="L54" i="100" s="1"/>
  <c r="O61" i="100" s="1"/>
  <c r="L59" i="140"/>
  <c r="L61" i="140" s="1"/>
  <c r="O69" i="140" s="1"/>
  <c r="L58" i="34"/>
  <c r="L60" i="34" s="1"/>
  <c r="O68" i="34" s="1"/>
  <c r="D28" i="154"/>
  <c r="N28" i="154" s="1"/>
  <c r="O28" i="154" s="1"/>
  <c r="O36" i="119"/>
  <c r="D24" i="139"/>
  <c r="N24" i="139" s="1"/>
  <c r="N25" i="139" s="1"/>
  <c r="D46" i="139" s="1"/>
  <c r="D31" i="154"/>
  <c r="N31" i="154" s="1"/>
  <c r="O31" i="154" s="1"/>
  <c r="O26" i="127"/>
  <c r="O27" i="127" s="1"/>
  <c r="N35" i="160"/>
  <c r="O35" i="160" s="1"/>
  <c r="D34" i="160"/>
  <c r="N34" i="160" s="1"/>
  <c r="O34" i="160" s="1"/>
  <c r="M58" i="34"/>
  <c r="M60" i="34" s="1"/>
  <c r="N27" i="34"/>
  <c r="D26" i="160"/>
  <c r="D52" i="160"/>
  <c r="D42" i="158"/>
  <c r="M42" i="158" s="1"/>
  <c r="O42" i="158" s="1"/>
  <c r="D28" i="158"/>
  <c r="D44" i="158" s="1"/>
  <c r="N44" i="158" s="1"/>
  <c r="O44" i="158" s="1"/>
  <c r="D42" i="159"/>
  <c r="M42" i="159" s="1"/>
  <c r="O42" i="159" s="1"/>
  <c r="D28" i="159"/>
  <c r="D27" i="160"/>
  <c r="D43" i="160" s="1"/>
  <c r="D41" i="160"/>
  <c r="D35" i="142"/>
  <c r="N35" i="142" s="1"/>
  <c r="O35" i="142" s="1"/>
  <c r="D35" i="158"/>
  <c r="N35" i="158" s="1"/>
  <c r="O35" i="158" s="1"/>
  <c r="M53" i="131"/>
  <c r="M55" i="131" s="1"/>
  <c r="L55" i="146"/>
  <c r="L57" i="146" s="1"/>
  <c r="O65" i="146" s="1"/>
  <c r="L53" i="119"/>
  <c r="L55" i="119" s="1"/>
  <c r="D35" i="141"/>
  <c r="N35" i="141" s="1"/>
  <c r="O35" i="141" s="1"/>
  <c r="L62" i="129"/>
  <c r="L64" i="129" s="1"/>
  <c r="O71" i="129" s="1"/>
  <c r="M56" i="141"/>
  <c r="M58" i="141" s="1"/>
  <c r="M55" i="153"/>
  <c r="M57" i="153" s="1"/>
  <c r="L59" i="127"/>
  <c r="L61" i="127" s="1"/>
  <c r="O69" i="127" s="1"/>
  <c r="M55" i="144"/>
  <c r="M57" i="144" s="1"/>
  <c r="N24" i="154"/>
  <c r="D33" i="154" s="1"/>
  <c r="N33" i="154" s="1"/>
  <c r="O33" i="154" s="1"/>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6" i="157" s="1"/>
  <c r="D44" i="157"/>
  <c r="M44" i="157" s="1"/>
  <c r="O44" i="157" s="1"/>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46" i="145"/>
  <c r="N46" i="145" s="1"/>
  <c r="O46" i="145" s="1"/>
  <c r="N52" i="160"/>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N36" i="160"/>
  <c r="N37" i="160"/>
  <c r="O37" i="160" s="1"/>
  <c r="D38" i="159"/>
  <c r="N38" i="159" s="1"/>
  <c r="O38" i="159" s="1"/>
  <c r="M41" i="160"/>
  <c r="O41" i="160" s="1"/>
  <c r="I25" i="160"/>
  <c r="O40" i="160"/>
  <c r="D18" i="160"/>
  <c r="O34" i="159"/>
  <c r="O41" i="158"/>
  <c r="M56" i="158"/>
  <c r="M58" i="158" s="1"/>
  <c r="O41" i="159"/>
  <c r="D52" i="155"/>
  <c r="O52" i="155" s="1"/>
  <c r="N35" i="155"/>
  <c r="O35" i="155"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35" i="154" l="1"/>
  <c r="N35" i="154" s="1"/>
  <c r="O35" i="154" s="1"/>
  <c r="D43" i="154"/>
  <c r="N43" i="154" s="1"/>
  <c r="O43" i="154" s="1"/>
  <c r="D38" i="131"/>
  <c r="N38" i="131" s="1"/>
  <c r="O38" i="131" s="1"/>
  <c r="D47" i="154"/>
  <c r="N47" i="154" s="1"/>
  <c r="O47" i="154" s="1"/>
  <c r="D44" i="154"/>
  <c r="N44" i="154" s="1"/>
  <c r="O44" i="154" s="1"/>
  <c r="D39" i="140"/>
  <c r="N39" i="140" s="1"/>
  <c r="O39" i="140" s="1"/>
  <c r="D37" i="140"/>
  <c r="N37" i="140" s="1"/>
  <c r="O37" i="140" s="1"/>
  <c r="D46" i="131"/>
  <c r="N46" i="131" s="1"/>
  <c r="O46" i="131" s="1"/>
  <c r="D36" i="131"/>
  <c r="N36" i="131" s="1"/>
  <c r="D28" i="160"/>
  <c r="N28" i="160" s="1"/>
  <c r="O28" i="160" s="1"/>
  <c r="D33" i="145"/>
  <c r="N33" i="145" s="1"/>
  <c r="D44" i="13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O61" i="37" s="1"/>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D34" i="133"/>
  <c r="N34" i="133" s="1"/>
  <c r="D39" i="133"/>
  <c r="N39" i="133" s="1"/>
  <c r="O39" i="133" s="1"/>
  <c r="D40" i="133"/>
  <c r="N40" i="133" s="1"/>
  <c r="O40" i="133" s="1"/>
  <c r="D42" i="133"/>
  <c r="N42" i="133" s="1"/>
  <c r="O42" i="133" s="1"/>
  <c r="N55" i="146"/>
  <c r="N57" i="146" s="1"/>
  <c r="O33" i="145"/>
  <c r="N30" i="142"/>
  <c r="O28" i="142"/>
  <c r="O30" i="142"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N43" i="160"/>
  <c r="O43" i="160" s="1"/>
  <c r="N25" i="160"/>
  <c r="J25" i="160"/>
  <c r="M56" i="159"/>
  <c r="M58" i="159" s="1"/>
  <c r="N28" i="159"/>
  <c r="D44" i="159"/>
  <c r="N44" i="159" s="1"/>
  <c r="O44" i="159" s="1"/>
  <c r="O36" i="160"/>
  <c r="M55" i="160"/>
  <c r="M57" i="160" s="1"/>
  <c r="M62" i="156"/>
  <c r="M64" i="156" s="1"/>
  <c r="N46" i="157"/>
  <c r="O46" i="157" s="1"/>
  <c r="N27" i="157"/>
  <c r="O27" i="157" s="1"/>
  <c r="M61" i="157"/>
  <c r="M63" i="157" s="1"/>
  <c r="N28" i="156"/>
  <c r="D47" i="156"/>
  <c r="N47" i="156" s="1"/>
  <c r="O47" i="156" s="1"/>
  <c r="O28" i="155"/>
  <c r="N30" i="155"/>
  <c r="O34" i="155"/>
  <c r="N25" i="157"/>
  <c r="J25" i="157"/>
  <c r="O55" i="154" l="1"/>
  <c r="O57" i="154" s="1"/>
  <c r="O60" i="154" s="1"/>
  <c r="N55" i="145"/>
  <c r="N57" i="145" s="1"/>
  <c r="O55" i="145"/>
  <c r="O60" i="145" s="1"/>
  <c r="O63" i="37"/>
  <c r="O68" i="127"/>
  <c r="O59" i="140"/>
  <c r="O61" i="140" s="1"/>
  <c r="O66" i="140" s="1"/>
  <c r="N59" i="140"/>
  <c r="N61" i="140" s="1"/>
  <c r="O53" i="131"/>
  <c r="O55" i="131" s="1"/>
  <c r="O60" i="131" s="1"/>
  <c r="N29" i="130"/>
  <c r="D52" i="130" s="1"/>
  <c r="N53" i="131"/>
  <c r="N55" i="131" s="1"/>
  <c r="O27" i="130"/>
  <c r="O29" i="130" s="1"/>
  <c r="N48" i="130"/>
  <c r="O48" i="130" s="1"/>
  <c r="D47" i="130"/>
  <c r="N30" i="158"/>
  <c r="D48" i="158" s="1"/>
  <c r="O33" i="147"/>
  <c r="O55" i="147" s="1"/>
  <c r="N55" i="147"/>
  <c r="N57" i="147" s="1"/>
  <c r="O64" i="146"/>
  <c r="O60" i="144"/>
  <c r="O62" i="144" s="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34" i="133"/>
  <c r="O50" i="133" s="1"/>
  <c r="N50" i="133"/>
  <c r="N52" i="133" s="1"/>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N30" i="40"/>
  <c r="O28" i="40"/>
  <c r="O28" i="129"/>
  <c r="O30" i="129" s="1"/>
  <c r="N30" i="129"/>
  <c r="O56" i="100"/>
  <c r="O58" i="100" s="1"/>
  <c r="D48" i="142"/>
  <c r="D39" i="142"/>
  <c r="N39" i="142" s="1"/>
  <c r="N45" i="142"/>
  <c r="O45" i="142" s="1"/>
  <c r="D46" i="142"/>
  <c r="N46" i="142"/>
  <c r="O46" i="142" s="1"/>
  <c r="D45" i="142"/>
  <c r="N48" i="142"/>
  <c r="O48" i="142" s="1"/>
  <c r="O30" i="158"/>
  <c r="O28" i="159"/>
  <c r="N30" i="159"/>
  <c r="N29" i="160"/>
  <c r="O25" i="160"/>
  <c r="N30" i="156"/>
  <c r="O28" i="156"/>
  <c r="N29" i="157"/>
  <c r="O25" i="157"/>
  <c r="N53" i="155"/>
  <c r="O53" i="155" s="1"/>
  <c r="N48" i="155"/>
  <c r="O48" i="155" s="1"/>
  <c r="D39" i="155"/>
  <c r="N39" i="155" s="1"/>
  <c r="D48" i="155"/>
  <c r="D53" i="155"/>
  <c r="N49" i="155"/>
  <c r="O49" i="155" s="1"/>
  <c r="D49" i="155"/>
  <c r="O30" i="155"/>
  <c r="O57" i="145" l="1"/>
  <c r="O62" i="145" s="1"/>
  <c r="O62" i="131"/>
  <c r="O68" i="140"/>
  <c r="D48" i="130"/>
  <c r="D44" i="160"/>
  <c r="D38" i="160"/>
  <c r="N38" i="160" s="1"/>
  <c r="D45" i="160"/>
  <c r="D47" i="160"/>
  <c r="N52" i="130"/>
  <c r="O52" i="130" s="1"/>
  <c r="D45" i="158"/>
  <c r="N47" i="130"/>
  <c r="O47" i="130" s="1"/>
  <c r="D38" i="130"/>
  <c r="N38" i="130" s="1"/>
  <c r="O38"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N47" i="160"/>
  <c r="O47" i="160" s="1"/>
  <c r="N44" i="160"/>
  <c r="O44" i="160" s="1"/>
  <c r="N45" i="160"/>
  <c r="O45" i="160" s="1"/>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1" i="130" l="1"/>
  <c r="O65" i="130" s="1"/>
  <c r="N61" i="130"/>
  <c r="N63"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63" i="130" l="1"/>
  <c r="O67" i="130" s="1"/>
  <c r="O69" i="130" s="1"/>
  <c r="O58" i="158"/>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<sst xmlns="http://schemas.openxmlformats.org/spreadsheetml/2006/main" count="5788" uniqueCount="342">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</sst>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460">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6" fontId="0" fillId="0" borderId="0" xfId="0" applyNumberFormat="1"/>
    <xf numFmtId="44" fontId="8" fillId="0" borderId="0" xfId="10" applyFont="1" applyFill="1"/>
    <xf numFmtId="170" fontId="8" fillId="0" borderId="0" xfId="0" applyNumberFormat="1" applyFont="1"/>
    <xf numFmtId="170" fontId="8" fillId="0" borderId="0" xfId="21" applyNumberFormat="1" applyFont="1" applyFill="1" applyBorder="1"/>
    <xf numFmtId="44" fontId="2" fillId="0" borderId="0" xfId="0" applyNumberFormat="1" applyFont="1"/>
    <xf numFmtId="9" fontId="2" fillId="0" borderId="0" xfId="21" applyFont="1"/>
    <xf numFmtId="170" fontId="6" fillId="0" borderId="1" xfId="21" applyNumberFormat="1" applyFont="1" applyFill="1" applyBorder="1" applyAlignment="1" applyProtection="1">
      <alignment horizontal="center"/>
      <protection locked="0"/>
    </xf>
    <xf numFmtId="4" fontId="8" fillId="0" borderId="0" xfId="0" applyNumberFormat="1" applyFont="1"/>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0" fillId="4" borderId="0" xfId="0" applyFill="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170" fontId="2" fillId="0" borderId="0" xfId="21" applyNumberFormat="1" applyFont="1"/>
    <xf numFmtId="43" fontId="6" fillId="0" borderId="1" xfId="1" applyFont="1" applyFill="1" applyBorder="1" applyProtection="1">
      <protection locked="0"/>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30" fillId="4" borderId="0" xfId="0" applyFont="1" applyFill="1" applyAlignment="1">
      <alignment horizontal="center"/>
    </xf>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Fill="1" applyBorder="1" applyAlignment="1">
      <alignment horizontal="center"/>
    </xf>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3" fontId="2" fillId="4" borderId="0" xfId="0" applyNumberFormat="1" applyFont="1" applyFill="1" applyAlignment="1">
      <alignment horizontal="center"/>
    </xf>
    <xf numFmtId="0" fontId="10" fillId="0" borderId="0" xfId="0" applyFo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xf numFmtId="182" fontId="6" fillId="0" borderId="1" xfId="1" applyNumberFormat="1" applyFont="1" applyFill="1" applyBorder="1" applyProtection="1">
      <protection locked="0"/>
    </xf>
    <xf numFmtId="185" fontId="8" fillId="0" borderId="0" xfId="0" applyNumberFormat="1" applyFont="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xf numFmtId="184" fontId="0" fillId="4" borderId="0" xfId="0" applyNumberFormat="1" applyFill="1" applyAlignment="1">
      <alignment horizontal="right"/>
    </xf>
    <xf numFmtId="183"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3" fontId="16" fillId="4" borderId="0" xfId="0" quotePrefix="1" applyNumberFormat="1" applyFont="1" applyFill="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17" fontId="21" fillId="2" borderId="13" xfId="0" applyNumberFormat="1" applyFont="1" applyFill="1" applyBorder="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0" fontId="2" fillId="0" borderId="19" xfId="0" applyFont="1" applyBorder="1" applyAlignment="1">
      <alignment horizontal="right"/>
    </xf>
    <xf numFmtId="168" fontId="15" fillId="0" borderId="0" xfId="0" applyNumberFormat="1" applyFont="1" applyAlignment="1">
      <alignment horizontal="center" vertical="center"/>
    </xf>
    <xf numFmtId="173" fontId="0" fillId="0" borderId="1" xfId="10" applyNumberFormat="1" applyFont="1" applyBorder="1"/>
    <xf numFmtId="173" fontId="0" fillId="0" borderId="1" xfId="0" applyNumberFormat="1" applyBorder="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3" fontId="47" fillId="0" borderId="1" xfId="0" applyNumberFormat="1" applyFont="1" applyBorder="1" applyProtection="1">
      <protection locked="0"/>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Alignment="1">
      <alignment horizontal="center"/>
    </xf>
    <xf numFmtId="0" fontId="9" fillId="0" borderId="0" xfId="0" applyFont="1" applyAlignment="1">
      <alignment horizontal="center"/>
    </xf>
    <xf numFmtId="44" fontId="1" fillId="0" borderId="0" xfId="10" applyFill="1" applyBorder="1"/>
    <xf numFmtId="165" fontId="1" fillId="0" borderId="0" xfId="21" applyNumberFormat="1" applyFill="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71" fontId="2" fillId="0" borderId="0" xfId="21" applyNumberFormat="1" applyFont="1" applyBorder="1" applyAlignment="1">
      <alignment horizontal="center"/>
    </xf>
    <xf numFmtId="43" fontId="1" fillId="0" borderId="1" xfId="1" applyFill="1" applyBorder="1"/>
    <xf numFmtId="14" fontId="0" fillId="0" borderId="0" xfId="0" applyNumberFormat="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Alignment="1">
      <alignment horizontal="right"/>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xf numFmtId="183" fontId="0" fillId="6" borderId="0" xfId="0" applyNumberFormat="1" applyFill="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1" fillId="6" borderId="0" xfId="0" applyFont="1" applyFill="1"/>
    <xf numFmtId="0" fontId="31" fillId="6" borderId="0" xfId="0" applyFont="1" applyFill="1"/>
    <xf numFmtId="166" fontId="1" fillId="6" borderId="1" xfId="10" applyNumberFormat="1" applyFill="1" applyBorder="1"/>
    <xf numFmtId="164" fontId="1" fillId="6" borderId="1" xfId="1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Alignment="1">
      <alignment horizontal="center"/>
    </xf>
    <xf numFmtId="3" fontId="14" fillId="6" borderId="0" xfId="0" applyNumberFormat="1" applyFont="1" applyFill="1"/>
    <xf numFmtId="3" fontId="32" fillId="6" borderId="0" xfId="0" applyNumberFormat="1" applyFont="1" applyFill="1"/>
    <xf numFmtId="0" fontId="14" fillId="6" borderId="0" xfId="0" applyFont="1" applyFill="1" applyAlignment="1">
      <alignment horizontal="center"/>
    </xf>
    <xf numFmtId="0" fontId="32" fillId="6" borderId="0" xfId="0" applyFont="1" applyFill="1"/>
    <xf numFmtId="44" fontId="12" fillId="6" borderId="0" xfId="0" applyNumberFormat="1" applyFont="1" applyFill="1" applyAlignment="1">
      <alignment horizontal="center"/>
    </xf>
    <xf numFmtId="17" fontId="32" fillId="6" borderId="0" xfId="0" quotePrefix="1" applyNumberFormat="1" applyFont="1" applyFill="1" applyAlignment="1">
      <alignment horizontal="center"/>
    </xf>
    <xf numFmtId="44" fontId="3" fillId="6" borderId="0" xfId="10" applyFont="1" applyFill="1" applyBorder="1"/>
    <xf numFmtId="17" fontId="16" fillId="6" borderId="0" xfId="0" quotePrefix="1" applyNumberFormat="1" applyFont="1" applyFill="1" applyAlignment="1">
      <alignment horizontal="center"/>
    </xf>
    <xf numFmtId="44" fontId="14" fillId="6" borderId="11" xfId="0" applyNumberFormat="1" applyFont="1" applyFill="1" applyBorder="1" applyAlignment="1">
      <alignment horizontal="center"/>
    </xf>
    <xf numFmtId="44" fontId="14" fillId="6" borderId="11" xfId="10"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Font="1" applyFill="1"/>
    <xf numFmtId="44" fontId="0" fillId="6" borderId="1" xfId="0" applyNumberFormat="1" applyFill="1" applyBorder="1"/>
    <xf numFmtId="0" fontId="15" fillId="6" borderId="11" xfId="0" applyFont="1" applyFill="1" applyBorder="1"/>
    <xf numFmtId="0" fontId="6" fillId="6" borderId="11" xfId="0" applyFont="1" applyFill="1" applyBorder="1"/>
    <xf numFmtId="0" fontId="12" fillId="6" borderId="11" xfId="0"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Alignment="1">
      <alignment horizontal="center" vertical="center"/>
    </xf>
    <xf numFmtId="44" fontId="0" fillId="0" borderId="0" xfId="10" applyFont="1" applyFill="1" applyBorder="1" applyAlignment="1">
      <alignment horizontal="center" vertical="center"/>
    </xf>
    <xf numFmtId="44" fontId="0" fillId="0" borderId="0" xfId="0" applyNumberFormat="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42" fillId="0" borderId="0" xfId="22" applyNumberFormat="1" applyFill="1" applyBorder="1"/>
    <xf numFmtId="14" fontId="1" fillId="0" borderId="0" xfId="0" applyNumberFormat="1" applyFont="1"/>
    <xf numFmtId="14" fontId="0" fillId="0" borderId="0" xfId="0" applyNumberFormat="1" applyAlignment="1">
      <alignment horizontal="right"/>
    </xf>
    <xf numFmtId="165" fontId="1" fillId="0" borderId="0" xfId="21"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0" xfId="0" applyFont="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Alignment="1">
      <alignment horizontal="center"/>
    </xf>
    <xf numFmtId="0" fontId="14" fillId="6" borderId="11" xfId="0" applyFont="1" applyFill="1" applyBorder="1"/>
    <xf numFmtId="0" fontId="35" fillId="0" borderId="0" xfId="0" applyFont="1" applyAlignment="1">
      <alignment horizontal="center"/>
    </xf>
    <xf numFmtId="168" fontId="15" fillId="0" borderId="0" xfId="0" applyNumberFormat="1" applyFont="1" applyAlignment="1">
      <alignment horizontal="center"/>
    </xf>
    <xf numFmtId="0" fontId="15" fillId="4" borderId="0" xfId="0" applyFont="1" applyFill="1"/>
    <xf numFmtId="0" fontId="35" fillId="6"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0" fontId="3" fillId="0" borderId="0" xfId="0" applyFont="1" applyBorder="1" applyAlignment="1">
      <alignment horizontal="center"/>
    </xf>
    <xf numFmtId="0" fontId="0" fillId="0" borderId="0" xfId="0" applyBorder="1"/>
    <xf numFmtId="175" fontId="1" fillId="0" borderId="0" xfId="10" applyNumberFormat="1" applyFont="1" applyFill="1" applyBorder="1" applyAlignment="1"/>
    <xf numFmtId="165" fontId="2" fillId="0" borderId="0" xfId="0" applyNumberFormat="1" applyFont="1" applyBorder="1" applyAlignment="1">
      <alignment horizontal="center"/>
    </xf>
    <xf numFmtId="0" fontId="43" fillId="0" borderId="0" xfId="0" applyFont="1" applyBorder="1" applyAlignment="1">
      <alignment horizontal="center"/>
    </xf>
    <xf numFmtId="0" fontId="0" fillId="0" borderId="0" xfId="0" applyBorder="1" applyAlignment="1">
      <alignment horizontal="center" vertical="center"/>
    </xf>
    <xf numFmtId="183" fontId="0" fillId="0" borderId="0" xfId="0" applyNumberFormat="1" applyBorder="1"/>
    <xf numFmtId="7" fontId="2" fillId="0" borderId="0" xfId="0" applyNumberFormat="1" applyFont="1" applyBorder="1" applyAlignment="1">
      <alignment horizontal="center"/>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397" t="s">
        <v>90</v>
      </c>
      <c r="B1" s="398"/>
      <c r="C1" s="398"/>
      <c r="D1" s="398"/>
      <c r="E1" s="398"/>
      <c r="F1" s="398"/>
      <c r="G1" s="4"/>
      <c r="H1" s="4"/>
      <c r="I1" s="4"/>
      <c r="J1" s="4"/>
      <c r="K1" s="4"/>
      <c r="L1" s="4"/>
      <c r="M1" s="4"/>
      <c r="N1" s="4"/>
      <c r="O1" s="4"/>
    </row>
    <row r="2" spans="1:15" x14ac:dyDescent="0.2">
      <c r="A2" s="399" t="s">
        <v>277</v>
      </c>
      <c r="B2" s="400"/>
      <c r="C2" s="400"/>
      <c r="D2" s="400"/>
      <c r="E2" s="400"/>
      <c r="F2" s="400"/>
      <c r="G2" s="4" t="s">
        <v>15</v>
      </c>
      <c r="H2" s="4"/>
      <c r="I2" s="4"/>
      <c r="J2" s="4"/>
      <c r="K2" s="4"/>
      <c r="L2" s="4"/>
      <c r="M2" s="4" t="s">
        <v>15</v>
      </c>
      <c r="N2" s="4" t="s">
        <v>15</v>
      </c>
      <c r="O2" s="4" t="s">
        <v>15</v>
      </c>
    </row>
    <row r="3" spans="1:15" x14ac:dyDescent="0.2">
      <c r="A3" s="395" t="s">
        <v>24</v>
      </c>
      <c r="B3" s="395"/>
      <c r="C3" s="395"/>
      <c r="D3" s="395"/>
      <c r="E3" s="395"/>
      <c r="F3" s="395"/>
    </row>
    <row r="4" spans="1:15" x14ac:dyDescent="0.2">
      <c r="A4" s="12"/>
      <c r="B4" s="12"/>
      <c r="C4" s="12"/>
      <c r="D4" s="12"/>
      <c r="E4" s="12"/>
      <c r="F4" s="12"/>
    </row>
    <row r="5" spans="1:15" ht="65.25" customHeight="1" x14ac:dyDescent="0.2">
      <c r="A5" s="396" t="s">
        <v>194</v>
      </c>
      <c r="B5" s="396"/>
      <c r="C5" s="396"/>
      <c r="D5" s="396"/>
      <c r="E5" s="396"/>
      <c r="F5" s="396"/>
    </row>
    <row r="6" spans="1:15" x14ac:dyDescent="0.2">
      <c r="A6" s="12"/>
      <c r="B6" s="12"/>
      <c r="C6" s="12"/>
      <c r="D6" s="12"/>
      <c r="E6" s="12"/>
      <c r="F6" s="11"/>
      <c r="O6" t="s">
        <v>15</v>
      </c>
    </row>
    <row r="7" spans="1:15" x14ac:dyDescent="0.2">
      <c r="A7" s="12" t="s">
        <v>2</v>
      </c>
      <c r="B7" s="402"/>
      <c r="C7" s="407"/>
      <c r="D7" s="407"/>
      <c r="E7" s="403"/>
      <c r="F7" s="11"/>
      <c r="G7" s="1"/>
      <c r="H7" s="1"/>
      <c r="I7" s="1"/>
      <c r="J7" s="1"/>
      <c r="K7" s="1"/>
      <c r="L7" s="1"/>
    </row>
    <row r="8" spans="1:15" x14ac:dyDescent="0.2">
      <c r="A8" s="207" t="s">
        <v>248</v>
      </c>
      <c r="B8" s="402"/>
      <c r="C8" s="403"/>
      <c r="D8" s="13"/>
      <c r="E8" s="13"/>
      <c r="F8" s="13"/>
      <c r="G8" s="1"/>
      <c r="H8" s="1"/>
      <c r="I8" s="1"/>
      <c r="J8" s="1"/>
      <c r="K8" s="1"/>
      <c r="L8" s="1"/>
    </row>
    <row r="9" spans="1:15" x14ac:dyDescent="0.2">
      <c r="A9" s="207" t="s">
        <v>232</v>
      </c>
      <c r="B9" s="124">
        <v>2</v>
      </c>
      <c r="C9" s="124">
        <v>2026</v>
      </c>
      <c r="D9" s="13"/>
      <c r="E9" s="13"/>
      <c r="F9" s="13"/>
    </row>
    <row r="10" spans="1:15" x14ac:dyDescent="0.2">
      <c r="A10" s="12"/>
      <c r="B10" s="230" t="s">
        <v>101</v>
      </c>
      <c r="C10" s="227" t="s">
        <v>91</v>
      </c>
      <c r="D10" s="201"/>
      <c r="E10" s="123"/>
      <c r="F10" s="13"/>
    </row>
    <row r="11" spans="1:15" x14ac:dyDescent="0.2">
      <c r="A11" s="12" t="s">
        <v>35</v>
      </c>
      <c r="B11" s="404" t="s">
        <v>95</v>
      </c>
      <c r="C11" s="405"/>
      <c r="D11" s="405"/>
      <c r="E11" s="405"/>
      <c r="F11" s="406"/>
    </row>
    <row r="12" spans="1:15" x14ac:dyDescent="0.2">
      <c r="A12" s="12"/>
      <c r="B12" s="12"/>
      <c r="C12" s="12"/>
      <c r="D12" s="12"/>
      <c r="E12" s="12"/>
      <c r="F12" s="12"/>
    </row>
    <row r="13" spans="1:15" x14ac:dyDescent="0.2">
      <c r="A13" s="12"/>
      <c r="B13" s="12"/>
      <c r="C13" s="12"/>
      <c r="D13" s="12"/>
      <c r="E13" s="12"/>
      <c r="F13" s="13"/>
    </row>
    <row r="14" spans="1:15" x14ac:dyDescent="0.2">
      <c r="A14" s="193" t="s">
        <v>341</v>
      </c>
      <c r="B14" s="105"/>
      <c r="C14" s="216" t="s">
        <v>45</v>
      </c>
      <c r="D14" s="11"/>
      <c r="E14" s="14"/>
      <c r="F14" s="11" t="s">
        <v>15</v>
      </c>
    </row>
    <row r="15" spans="1:15" x14ac:dyDescent="0.2">
      <c r="A15" s="207" t="s">
        <v>272</v>
      </c>
      <c r="B15" s="105"/>
      <c r="C15" s="216" t="s">
        <v>45</v>
      </c>
      <c r="D15" s="202"/>
      <c r="E15" s="57">
        <v>3</v>
      </c>
      <c r="F15" s="14" t="s">
        <v>15</v>
      </c>
      <c r="G15" s="2"/>
      <c r="H15" s="2"/>
      <c r="I15" s="2"/>
      <c r="J15" s="2"/>
      <c r="K15" s="2"/>
      <c r="L15" s="2"/>
    </row>
    <row r="16" spans="1:15" x14ac:dyDescent="0.2">
      <c r="A16" s="12" t="s">
        <v>130</v>
      </c>
      <c r="B16" s="262"/>
      <c r="C16" s="216" t="s">
        <v>45</v>
      </c>
      <c r="D16" s="202"/>
      <c r="E16" s="57">
        <v>1</v>
      </c>
      <c r="F16" s="14" t="s">
        <v>15</v>
      </c>
      <c r="G16" s="2"/>
      <c r="H16" s="2"/>
      <c r="I16" s="2"/>
      <c r="J16" s="2"/>
      <c r="K16" s="2"/>
      <c r="L16" s="2"/>
    </row>
    <row r="17" spans="1:13" x14ac:dyDescent="0.2">
      <c r="A17" s="12"/>
      <c r="B17" s="14"/>
      <c r="C17" s="14"/>
      <c r="D17" s="14"/>
      <c r="E17" s="57">
        <v>2</v>
      </c>
      <c r="F17" s="14" t="s">
        <v>15</v>
      </c>
      <c r="G17" s="2"/>
      <c r="H17" s="2"/>
      <c r="I17" s="2"/>
      <c r="J17" s="2"/>
      <c r="K17" s="2"/>
      <c r="L17" s="2"/>
    </row>
    <row r="18" spans="1:13" x14ac:dyDescent="0.2">
      <c r="A18" s="193" t="s">
        <v>77</v>
      </c>
      <c r="B18" s="188"/>
      <c r="C18" s="14"/>
      <c r="D18" s="14"/>
      <c r="E18" s="206">
        <f>IF(E16=1,1,IF(E16=2,0.98,1.01))</f>
        <v>1</v>
      </c>
      <c r="F18" s="58" t="s">
        <v>51</v>
      </c>
      <c r="G18" s="2"/>
      <c r="H18" s="2"/>
      <c r="I18" s="2"/>
      <c r="J18" s="2"/>
      <c r="K18" s="2"/>
      <c r="L18" s="2"/>
    </row>
    <row r="19" spans="1:13" x14ac:dyDescent="0.2">
      <c r="A19" s="12" t="s">
        <v>78</v>
      </c>
      <c r="B19" s="188"/>
      <c r="C19" s="14"/>
      <c r="D19" s="14"/>
      <c r="E19" s="57"/>
      <c r="F19" s="14"/>
      <c r="G19" s="2"/>
      <c r="H19" s="2"/>
      <c r="I19" s="2"/>
      <c r="J19" s="2"/>
      <c r="K19" s="2"/>
      <c r="L19" s="2"/>
    </row>
    <row r="20" spans="1:13" x14ac:dyDescent="0.2">
      <c r="A20" s="12"/>
      <c r="B20" s="14"/>
      <c r="C20" s="14"/>
      <c r="D20" s="14"/>
      <c r="E20" s="57"/>
      <c r="F20" s="14"/>
      <c r="G20" s="2"/>
      <c r="H20" s="2"/>
      <c r="I20" s="2"/>
      <c r="J20" s="2"/>
      <c r="K20" s="2"/>
      <c r="L20" s="2"/>
    </row>
    <row r="21" spans="1:13" x14ac:dyDescent="0.2">
      <c r="A21" s="12" t="s">
        <v>88</v>
      </c>
      <c r="B21" s="250"/>
      <c r="C21" s="205" t="s">
        <v>41</v>
      </c>
      <c r="D21" s="14"/>
      <c r="E21" s="57"/>
      <c r="F21" s="14"/>
      <c r="G21" s="2"/>
      <c r="H21" s="2"/>
      <c r="I21" s="2"/>
      <c r="J21" s="2"/>
      <c r="K21" s="2"/>
      <c r="L21" s="2"/>
    </row>
    <row r="22" spans="1:13" x14ac:dyDescent="0.2">
      <c r="A22" s="12" t="s">
        <v>89</v>
      </c>
      <c r="B22" s="105"/>
      <c r="C22" s="205" t="s">
        <v>41</v>
      </c>
      <c r="D22" s="14"/>
      <c r="E22" s="57"/>
      <c r="F22" s="14"/>
      <c r="G22" s="2"/>
      <c r="H22" s="2"/>
      <c r="I22" s="2"/>
      <c r="J22" s="2"/>
      <c r="K22" s="2"/>
      <c r="L22" s="2"/>
    </row>
    <row r="23" spans="1:13" x14ac:dyDescent="0.2">
      <c r="A23" s="207" t="s">
        <v>271</v>
      </c>
      <c r="B23" s="105"/>
      <c r="C23" s="205" t="s">
        <v>41</v>
      </c>
      <c r="D23" s="205"/>
      <c r="E23" s="57"/>
      <c r="F23" s="14"/>
      <c r="G23" s="2"/>
      <c r="H23" s="2"/>
      <c r="I23" s="2"/>
      <c r="J23" s="2"/>
      <c r="K23" s="2"/>
      <c r="L23" s="2"/>
    </row>
    <row r="24" spans="1:13" x14ac:dyDescent="0.2">
      <c r="A24" s="12"/>
      <c r="B24" s="14"/>
      <c r="C24" s="14"/>
      <c r="D24" s="205"/>
      <c r="E24" s="207" t="s">
        <v>15</v>
      </c>
      <c r="F24" s="193"/>
      <c r="G24" s="2"/>
      <c r="H24" s="2"/>
      <c r="I24" s="2"/>
      <c r="J24" s="2"/>
      <c r="K24" s="2"/>
      <c r="L24" s="2"/>
      <c r="M24" s="194"/>
    </row>
    <row r="25" spans="1:13" x14ac:dyDescent="0.2">
      <c r="A25" s="12"/>
      <c r="B25" s="14"/>
      <c r="C25" s="14"/>
      <c r="D25" s="205"/>
      <c r="E25" s="196"/>
      <c r="F25" s="193"/>
    </row>
    <row r="26" spans="1:13" x14ac:dyDescent="0.2">
      <c r="A26" s="12" t="s">
        <v>127</v>
      </c>
      <c r="B26" s="108"/>
      <c r="C26" s="205" t="s">
        <v>126</v>
      </c>
      <c r="D26" s="205"/>
      <c r="E26" s="212"/>
      <c r="F26" s="195"/>
      <c r="G26" s="2"/>
      <c r="H26" s="2"/>
      <c r="I26" s="2"/>
      <c r="J26" s="2"/>
      <c r="K26" s="2"/>
      <c r="L26" s="2"/>
    </row>
    <row r="27" spans="1:13" x14ac:dyDescent="0.2">
      <c r="A27" s="12" t="s">
        <v>53</v>
      </c>
      <c r="B27" s="105"/>
      <c r="C27" s="205" t="s">
        <v>46</v>
      </c>
      <c r="D27" s="205"/>
      <c r="E27" s="207"/>
      <c r="F27" s="14" t="s">
        <v>15</v>
      </c>
      <c r="G27" s="2"/>
      <c r="H27" s="2"/>
      <c r="I27" s="2"/>
      <c r="J27" s="2"/>
      <c r="K27" s="2"/>
      <c r="L27" s="2"/>
    </row>
    <row r="28" spans="1:13" x14ac:dyDescent="0.2">
      <c r="A28" s="12"/>
      <c r="B28" s="14"/>
      <c r="C28" s="14"/>
      <c r="D28" s="205"/>
      <c r="E28" s="207"/>
      <c r="F28" s="14" t="s">
        <v>15</v>
      </c>
      <c r="G28" s="2"/>
      <c r="H28" s="2"/>
      <c r="I28" s="2"/>
      <c r="J28" s="2"/>
      <c r="K28" s="2"/>
      <c r="L28" s="2"/>
    </row>
    <row r="29" spans="1:13" x14ac:dyDescent="0.2">
      <c r="A29" s="12" t="s">
        <v>0</v>
      </c>
      <c r="B29" s="50"/>
      <c r="C29" s="208" t="s">
        <v>131</v>
      </c>
      <c r="D29" s="209">
        <f>IF(ISNUMBER(B29),B29,IF(ISNUMBER(B27),(IF(ABS(B21+B22)&gt;0,ROUND(COS(ATAN(B27/(B21+B22))),3),1)),1))</f>
        <v>1</v>
      </c>
      <c r="E29" s="207"/>
      <c r="F29" s="14" t="s">
        <v>15</v>
      </c>
      <c r="G29" s="2"/>
      <c r="H29" s="2"/>
      <c r="I29" s="2"/>
      <c r="J29" s="2"/>
      <c r="K29" s="2"/>
      <c r="L29" s="2"/>
    </row>
    <row r="30" spans="1:13" x14ac:dyDescent="0.2">
      <c r="A30" s="12"/>
      <c r="B30" s="14"/>
      <c r="C30" s="14"/>
      <c r="D30" s="210">
        <f>IF(D29&lt;&gt;0,SIGN(D29)*ROUND(1/D29,3),0)</f>
        <v>1</v>
      </c>
      <c r="E30" s="12"/>
      <c r="F30" s="58"/>
      <c r="G30" s="2"/>
      <c r="H30" s="2"/>
      <c r="I30" s="2"/>
      <c r="J30" s="2"/>
      <c r="K30" s="2"/>
      <c r="L30" s="2"/>
    </row>
    <row r="31" spans="1:13" ht="12" customHeight="1" x14ac:dyDescent="0.2">
      <c r="A31" s="55"/>
      <c r="B31" s="190"/>
      <c r="C31" s="223"/>
      <c r="D31" s="211"/>
      <c r="E31" s="12" t="s">
        <v>15</v>
      </c>
      <c r="F31" s="193"/>
      <c r="G31" s="2"/>
      <c r="H31" s="2"/>
      <c r="I31" s="2"/>
      <c r="J31" s="2"/>
      <c r="K31" s="2"/>
      <c r="L31" s="2"/>
    </row>
    <row r="32" spans="1:13" ht="12.75" customHeight="1" x14ac:dyDescent="0.2">
      <c r="A32" s="56" t="s">
        <v>125</v>
      </c>
      <c r="B32" s="190"/>
      <c r="C32" s="223" t="b">
        <v>0</v>
      </c>
      <c r="D32" s="211"/>
      <c r="E32" s="207"/>
      <c r="F32" s="207"/>
    </row>
    <row r="33" spans="1:6" ht="12" customHeight="1" x14ac:dyDescent="0.2">
      <c r="A33" s="56" t="s">
        <v>128</v>
      </c>
      <c r="B33" s="191"/>
      <c r="C33" s="223" t="b">
        <v>0</v>
      </c>
      <c r="D33" s="211"/>
      <c r="E33" s="207"/>
      <c r="F33" s="207"/>
    </row>
    <row r="34" spans="1:6" x14ac:dyDescent="0.2">
      <c r="A34" s="231" t="s">
        <v>216</v>
      </c>
      <c r="B34" s="191"/>
      <c r="C34" s="232" t="b">
        <v>0</v>
      </c>
      <c r="D34" s="192"/>
      <c r="E34" s="12"/>
      <c r="F34" s="193"/>
    </row>
    <row r="35" spans="1:6" ht="12" customHeight="1" x14ac:dyDescent="0.2">
      <c r="A35" s="56"/>
      <c r="B35" s="67"/>
      <c r="C35" s="192"/>
      <c r="D35" s="192"/>
      <c r="E35" s="12"/>
      <c r="F35" s="193"/>
    </row>
    <row r="36" spans="1:6" x14ac:dyDescent="0.2">
      <c r="A36" s="401" t="s">
        <v>25</v>
      </c>
      <c r="B36" s="401"/>
      <c r="C36" s="401"/>
      <c r="D36" s="200"/>
      <c r="E36" s="207"/>
      <c r="F36" s="247" t="s">
        <v>340</v>
      </c>
    </row>
    <row r="37" spans="1:6" x14ac:dyDescent="0.2">
      <c r="A37" s="12"/>
      <c r="B37" s="12"/>
      <c r="C37" s="12"/>
      <c r="D37" s="12"/>
      <c r="E37" s="12"/>
      <c r="F37" s="219"/>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84</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row>
    <row r="6" spans="1:30" x14ac:dyDescent="0.2">
      <c r="A6" s="69">
        <f ca="1">TODAY()</f>
        <v>46051</v>
      </c>
      <c r="B6" s="187" t="s">
        <v>229</v>
      </c>
      <c r="C6" s="69"/>
      <c r="D6" s="69"/>
      <c r="E6" s="69"/>
      <c r="F6" s="69"/>
      <c r="G6" s="69"/>
      <c r="H6" s="69"/>
      <c r="I6" s="69"/>
    </row>
    <row r="7" spans="1:30" ht="26.25" x14ac:dyDescent="0.4">
      <c r="A7" s="436"/>
      <c r="B7" s="436"/>
      <c r="C7" s="436"/>
      <c r="D7" s="436"/>
      <c r="E7" s="436"/>
      <c r="F7" s="436"/>
      <c r="G7" s="436"/>
      <c r="H7" s="436"/>
      <c r="I7" s="436"/>
      <c r="J7" s="436"/>
      <c r="K7" s="436"/>
      <c r="L7" s="436"/>
      <c r="M7" s="436"/>
      <c r="N7" s="436"/>
      <c r="O7" s="436"/>
      <c r="P7" s="436"/>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0" t="s">
        <v>68</v>
      </c>
      <c r="H19" s="421"/>
      <c r="I19" s="421"/>
      <c r="J19" s="422"/>
      <c r="K19" s="20"/>
      <c r="L19" s="423" t="s">
        <v>69</v>
      </c>
      <c r="M19" s="423"/>
      <c r="N19" s="423"/>
      <c r="O19" s="423"/>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'GS-TOU Bundled'!C16+'GS-TOU Bundled'!C17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253</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9">
        <f ca="1">TODAY()</f>
        <v>46051</v>
      </c>
      <c r="B5" s="68"/>
      <c r="C5" s="68"/>
      <c r="D5" s="68"/>
      <c r="E5" s="68"/>
      <c r="F5" s="68"/>
      <c r="G5" s="68"/>
      <c r="H5" s="68"/>
      <c r="I5" s="68"/>
      <c r="J5" s="68"/>
      <c r="K5" s="68"/>
      <c r="L5" s="68"/>
      <c r="M5" s="68"/>
      <c r="N5" s="68"/>
      <c r="O5" s="68"/>
      <c r="P5" s="68"/>
    </row>
    <row r="6" spans="1:30" x14ac:dyDescent="0.2">
      <c r="A6" s="437" t="s">
        <v>250</v>
      </c>
      <c r="B6" s="437"/>
      <c r="C6" s="437"/>
      <c r="D6" s="437"/>
      <c r="E6" s="437"/>
      <c r="F6" s="437"/>
      <c r="G6" s="437"/>
      <c r="H6" s="437"/>
      <c r="I6" s="437"/>
      <c r="J6" s="437"/>
      <c r="K6" s="437"/>
      <c r="L6" s="437"/>
      <c r="M6" s="437"/>
      <c r="N6" s="437"/>
      <c r="O6" s="437"/>
      <c r="P6" s="437"/>
      <c r="Q6" s="437"/>
    </row>
    <row r="7" spans="1:30" x14ac:dyDescent="0.2">
      <c r="A7" s="409" t="s">
        <v>15</v>
      </c>
      <c r="B7" s="409"/>
      <c r="C7" s="409"/>
      <c r="D7" s="409"/>
      <c r="E7" s="409"/>
      <c r="F7" s="409"/>
      <c r="G7" s="409"/>
      <c r="H7" s="409"/>
      <c r="I7" s="409"/>
      <c r="J7" s="409"/>
      <c r="K7" s="40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98"/>
      <c r="T14" s="198"/>
      <c r="U14" s="198"/>
      <c r="V14" s="198"/>
      <c r="W14" s="198"/>
      <c r="X14" s="197"/>
      <c r="Y14" s="197"/>
      <c r="Z14" s="197"/>
      <c r="AA14" s="197"/>
      <c r="AB14" s="198"/>
      <c r="AC14" s="198"/>
      <c r="AD14" s="198"/>
    </row>
    <row r="15" spans="1:30" x14ac:dyDescent="0.2">
      <c r="A15" s="27" t="s">
        <v>43</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9"/>
      <c r="Y15" s="179"/>
      <c r="Z15" s="179"/>
      <c r="AA15" s="179"/>
      <c r="AB15" s="170"/>
      <c r="AC15" s="170"/>
      <c r="AD15" s="170"/>
    </row>
    <row r="16" spans="1:30" x14ac:dyDescent="0.2">
      <c r="A16" s="27"/>
      <c r="B16" s="27"/>
      <c r="C16" s="28"/>
      <c r="D16" s="28"/>
      <c r="E16" s="28"/>
      <c r="F16" s="28"/>
      <c r="G16" s="21"/>
      <c r="H16" s="27"/>
      <c r="I16" s="27"/>
      <c r="R16" s="70"/>
      <c r="S16" s="170"/>
      <c r="T16" s="170"/>
      <c r="U16" s="170"/>
      <c r="V16" s="170"/>
      <c r="W16" s="170"/>
      <c r="X16" s="170"/>
      <c r="Y16" s="170"/>
      <c r="Z16" s="170"/>
      <c r="AA16" s="170"/>
      <c r="AB16" s="170"/>
      <c r="AC16" s="170"/>
      <c r="AD16" s="170"/>
    </row>
    <row r="17" spans="1:221" x14ac:dyDescent="0.2">
      <c r="A17" s="26" t="s">
        <v>76</v>
      </c>
      <c r="B17" s="20"/>
      <c r="C17" s="20"/>
      <c r="D17" s="20"/>
      <c r="E17" s="20"/>
      <c r="F17" s="20"/>
      <c r="G17" s="420" t="s">
        <v>68</v>
      </c>
      <c r="H17" s="421"/>
      <c r="I17" s="421"/>
      <c r="J17" s="422"/>
      <c r="K17" s="20"/>
      <c r="L17" s="423" t="s">
        <v>69</v>
      </c>
      <c r="M17" s="423"/>
      <c r="N17" s="423"/>
      <c r="O17" s="423"/>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9.4</v>
      </c>
      <c r="J19" s="109">
        <f>SUM(G19:I19)</f>
        <v>9.4</v>
      </c>
      <c r="L19" s="109"/>
      <c r="M19" s="109"/>
      <c r="N19" s="109">
        <f>I19</f>
        <v>9.4</v>
      </c>
      <c r="O19" s="95">
        <f>+SUM(L19:N19)</f>
        <v>9.4</v>
      </c>
      <c r="P19" s="220">
        <v>44531</v>
      </c>
    </row>
    <row r="20" spans="1:221" x14ac:dyDescent="0.2">
      <c r="A20" t="s">
        <v>296</v>
      </c>
      <c r="D20" s="1">
        <f>C15</f>
        <v>0</v>
      </c>
      <c r="E20" s="31" t="s">
        <v>41</v>
      </c>
      <c r="F20" s="4" t="s">
        <v>8</v>
      </c>
      <c r="G20" s="110"/>
      <c r="H20" s="111"/>
      <c r="I20" s="111">
        <v>2.05802E-2</v>
      </c>
      <c r="J20" s="111">
        <f>SUM(G20:I20)</f>
        <v>2.05802E-2</v>
      </c>
      <c r="K20" s="32" t="s">
        <v>42</v>
      </c>
      <c r="L20" s="113"/>
      <c r="M20" s="113"/>
      <c r="N20" s="113">
        <f>ROUND($D20*I20,2)</f>
        <v>0</v>
      </c>
      <c r="O20" s="95">
        <f>+SUM(L20:N20)</f>
        <v>0</v>
      </c>
      <c r="P20" s="220">
        <v>44531</v>
      </c>
    </row>
    <row r="21" spans="1:221" x14ac:dyDescent="0.2">
      <c r="A21" s="87" t="s">
        <v>75</v>
      </c>
      <c r="B21" s="33"/>
      <c r="C21" s="33"/>
      <c r="D21" s="34"/>
      <c r="E21" s="34"/>
      <c r="F21" s="33"/>
      <c r="G21" s="33"/>
      <c r="I21" s="36"/>
      <c r="K21" s="35"/>
      <c r="L21" s="86"/>
      <c r="M21" s="48"/>
      <c r="N21" s="86">
        <f>SUM(N19:N20)</f>
        <v>9.4</v>
      </c>
      <c r="O21" s="86">
        <f>SUM(O19:O20)</f>
        <v>9.4</v>
      </c>
    </row>
    <row r="22" spans="1:221" x14ac:dyDescent="0.2">
      <c r="A22" s="148"/>
      <c r="B22" s="148"/>
      <c r="C22" s="148"/>
      <c r="D22" s="149"/>
      <c r="E22" s="149"/>
      <c r="F22" s="148"/>
      <c r="G22" s="149"/>
      <c r="H22" s="149"/>
      <c r="I22" s="149"/>
      <c r="J22" s="149"/>
      <c r="K22" s="150"/>
      <c r="L22" s="149"/>
      <c r="M22" s="149"/>
      <c r="N22" s="149"/>
      <c r="O22" s="149"/>
      <c r="P22" s="149"/>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152"/>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Q24" s="229"/>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5" si="0">SUM(G25:I25)</f>
        <v>5.5215000000000004E-3</v>
      </c>
      <c r="K25" s="94" t="s">
        <v>42</v>
      </c>
      <c r="L25" s="95"/>
      <c r="M25" s="95"/>
      <c r="N25" s="95">
        <f>ROUND(D25*I25,2)</f>
        <v>0</v>
      </c>
      <c r="O25" s="95">
        <f>SUM(L25:N25)</f>
        <v>0</v>
      </c>
      <c r="P25" s="220">
        <f>'Rider Rates'!$D$4</f>
        <v>46022</v>
      </c>
      <c r="Q25" s="229"/>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ROUND(D26*I26,2)</f>
        <v>0</v>
      </c>
      <c r="O26" s="95">
        <f>SUM(L26:N26)</f>
        <v>0</v>
      </c>
      <c r="P26" s="220">
        <f>'Rider Rates'!$D$4</f>
        <v>46022</v>
      </c>
      <c r="Q26" s="229"/>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1">
        <f>IF('Customer Info'!$C$32=TRUE,0,IF(C15&lt;0,0,IF(C15&gt;2000,2000,C15)))</f>
        <v>0</v>
      </c>
      <c r="E27" s="91" t="s">
        <v>41</v>
      </c>
      <c r="F27" s="92" t="s">
        <v>8</v>
      </c>
      <c r="G27" s="93"/>
      <c r="H27" s="93"/>
      <c r="I27" s="154">
        <f>'Rider Rates'!$B$8</f>
        <v>4.6499999999999996E-3</v>
      </c>
      <c r="J27" s="154">
        <f t="shared" si="0"/>
        <v>4.6499999999999996E-3</v>
      </c>
      <c r="K27" s="94" t="s">
        <v>42</v>
      </c>
      <c r="L27" s="95"/>
      <c r="M27" s="95"/>
      <c r="N27" s="95">
        <f>ROUND(D27*I27,2)</f>
        <v>0</v>
      </c>
      <c r="O27" s="95">
        <f>SUM(L27:N27)</f>
        <v>0</v>
      </c>
      <c r="P27" s="220">
        <f>'Rider Rates'!$D$7</f>
        <v>44531</v>
      </c>
      <c r="Q27" s="229"/>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1">
        <f>IF('Customer Info'!$C$32=TRUE,0,IF(C15&gt;15000,13000,IF(C15&gt;2000,C15-2000,0)))</f>
        <v>0</v>
      </c>
      <c r="E28" s="91" t="s">
        <v>41</v>
      </c>
      <c r="F28" s="92" t="s">
        <v>8</v>
      </c>
      <c r="G28" s="93"/>
      <c r="H28" s="93"/>
      <c r="I28" s="154">
        <f>'Rider Rates'!$B$9</f>
        <v>4.1900000000000001E-3</v>
      </c>
      <c r="J28" s="154">
        <f t="shared" si="0"/>
        <v>4.1900000000000001E-3</v>
      </c>
      <c r="K28" s="94" t="s">
        <v>42</v>
      </c>
      <c r="L28" s="95"/>
      <c r="M28" s="95"/>
      <c r="N28" s="95">
        <f>ROUND(D28*I28,2)</f>
        <v>0</v>
      </c>
      <c r="O28" s="95">
        <f>SUM(L28:N28)</f>
        <v>0</v>
      </c>
      <c r="P28" s="220">
        <f>'Rider Rates'!$D$7</f>
        <v>44531</v>
      </c>
      <c r="Q28" s="229"/>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1">
        <f>IF('Customer Info'!$C$32=TRUE,0,IF(C15-D27-D28&gt;0,C15-D27-D28,0))</f>
        <v>0</v>
      </c>
      <c r="E29" s="91" t="s">
        <v>41</v>
      </c>
      <c r="F29" s="92" t="s">
        <v>8</v>
      </c>
      <c r="G29" s="93"/>
      <c r="H29" s="93"/>
      <c r="I29" s="154">
        <f>'Rider Rates'!$B$10</f>
        <v>3.63E-3</v>
      </c>
      <c r="J29" s="154">
        <f t="shared" si="0"/>
        <v>3.63E-3</v>
      </c>
      <c r="K29" s="94" t="s">
        <v>42</v>
      </c>
      <c r="L29" s="95"/>
      <c r="M29" s="95"/>
      <c r="N29" s="95">
        <f>ROUND(D29*I29,2)</f>
        <v>0</v>
      </c>
      <c r="O29" s="95">
        <f>SUM(L29:N29)</f>
        <v>0</v>
      </c>
      <c r="P29" s="220">
        <f>'Rider Rates'!$D$7</f>
        <v>44531</v>
      </c>
      <c r="Q29" s="229"/>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187" t="s">
        <v>237</v>
      </c>
      <c r="B30" s="70"/>
      <c r="C30" s="70"/>
      <c r="D30" s="172">
        <f>$N$21</f>
        <v>9.4</v>
      </c>
      <c r="E30" s="91" t="s">
        <v>122</v>
      </c>
      <c r="F30" s="92" t="s">
        <v>8</v>
      </c>
      <c r="G30" s="93"/>
      <c r="H30" s="93"/>
      <c r="I30" s="155">
        <f>'Rider Rates'!$B$18+'Rider Rates'!$E$18</f>
        <v>0</v>
      </c>
      <c r="J30" s="155">
        <f>SUM(G30:I30)</f>
        <v>0</v>
      </c>
      <c r="K30" s="94"/>
      <c r="L30" s="95"/>
      <c r="M30" s="95"/>
      <c r="N30" s="95">
        <f>ROUND($D$30*'Rider Rates'!$B$18,2)+ROUND($D$30*'Rider Rates'!$E$18,2)</f>
        <v>0</v>
      </c>
      <c r="O30" s="95">
        <f t="shared" ref="O30:O36" si="1">SUM(L30:N30)</f>
        <v>0</v>
      </c>
      <c r="P30" s="220">
        <f>MAX('Rider Rates'!$D$18,'Rider Rates'!$F$18)</f>
        <v>44531</v>
      </c>
      <c r="Q30" s="229"/>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186</v>
      </c>
      <c r="B31" s="70"/>
      <c r="C31" s="70"/>
      <c r="D31" s="90">
        <f>'Customer Info'!$B$21+'Customer Info'!$B$22</f>
        <v>0</v>
      </c>
      <c r="E31" s="91" t="s">
        <v>41</v>
      </c>
      <c r="F31" s="92" t="s">
        <v>8</v>
      </c>
      <c r="G31" s="93">
        <f>'Rider Rates'!B22</f>
        <v>7.6880000000000004E-2</v>
      </c>
      <c r="H31" s="93"/>
      <c r="I31" s="93"/>
      <c r="J31" s="213">
        <f>SUM(G31:H31)</f>
        <v>7.6880000000000004E-2</v>
      </c>
      <c r="K31" s="94" t="s">
        <v>42</v>
      </c>
      <c r="L31" s="95">
        <f>ROUND(D31*G31,2)</f>
        <v>0</v>
      </c>
      <c r="M31" s="95"/>
      <c r="N31" s="95"/>
      <c r="O31" s="95">
        <f t="shared" si="1"/>
        <v>0</v>
      </c>
      <c r="P31" s="220">
        <f>'Rider Rates'!$D$21</f>
        <v>45809</v>
      </c>
      <c r="Q31" s="229"/>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162</v>
      </c>
      <c r="B32" s="70"/>
      <c r="C32" s="70"/>
      <c r="D32" s="1">
        <f>'Customer Info'!$B$21</f>
        <v>0</v>
      </c>
      <c r="E32" s="91" t="s">
        <v>41</v>
      </c>
      <c r="F32" s="92" t="s">
        <v>8</v>
      </c>
      <c r="G32" s="93">
        <f>'Rider Rates'!B39</f>
        <v>3.0884399999999999E-2</v>
      </c>
      <c r="H32" s="93"/>
      <c r="I32" s="93"/>
      <c r="J32" s="213">
        <f>SUM(G32:H32)</f>
        <v>3.0884399999999999E-2</v>
      </c>
      <c r="K32" s="94" t="s">
        <v>42</v>
      </c>
      <c r="L32" s="95">
        <f>ROUND(D32*G32,2)</f>
        <v>0</v>
      </c>
      <c r="M32" s="95"/>
      <c r="N32" s="95"/>
      <c r="O32" s="95">
        <f t="shared" si="1"/>
        <v>0</v>
      </c>
      <c r="P32" s="220">
        <f>'Rider Rates'!D29</f>
        <v>45809</v>
      </c>
      <c r="Q32" s="229"/>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219</v>
      </c>
      <c r="B33" s="70"/>
      <c r="C33" s="70"/>
      <c r="D33" s="1">
        <f>'Customer Info'!$B$22</f>
        <v>0</v>
      </c>
      <c r="E33" s="91" t="s">
        <v>41</v>
      </c>
      <c r="F33" s="92" t="s">
        <v>8</v>
      </c>
      <c r="G33" s="93">
        <f>'Rider Rates'!B40</f>
        <v>1.06385E-2</v>
      </c>
      <c r="H33" s="93"/>
      <c r="I33" s="93"/>
      <c r="J33" s="213">
        <f>SUM(G33:H33)</f>
        <v>1.06385E-2</v>
      </c>
      <c r="K33" s="94" t="s">
        <v>42</v>
      </c>
      <c r="L33" s="95">
        <f>ROUND(D33*G33,2)</f>
        <v>0</v>
      </c>
      <c r="M33" s="95"/>
      <c r="N33" s="95"/>
      <c r="O33" s="95">
        <f t="shared" si="1"/>
        <v>0</v>
      </c>
      <c r="P33" s="220">
        <f>'Rider Rates'!D30</f>
        <v>45809</v>
      </c>
      <c r="Q33" s="229"/>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193</v>
      </c>
      <c r="B34" s="70"/>
      <c r="C34" s="70"/>
      <c r="D34" s="90">
        <f>'Customer Info'!$B$21+'Customer Info'!$B$22</f>
        <v>0</v>
      </c>
      <c r="E34" s="91" t="s">
        <v>41</v>
      </c>
      <c r="F34" s="92" t="s">
        <v>8</v>
      </c>
      <c r="G34" s="93">
        <f>'Rider Rates'!$B$45</f>
        <v>2.7588999999999999E-3</v>
      </c>
      <c r="H34" s="93"/>
      <c r="I34" s="93"/>
      <c r="J34" s="213">
        <f>SUM(G34:H34)</f>
        <v>2.7588999999999999E-3</v>
      </c>
      <c r="K34" s="94" t="s">
        <v>42</v>
      </c>
      <c r="L34" s="95">
        <f>ROUND(D34*G34,2)</f>
        <v>0</v>
      </c>
      <c r="M34" s="95"/>
      <c r="N34" s="95"/>
      <c r="O34" s="95">
        <f t="shared" si="1"/>
        <v>0</v>
      </c>
      <c r="P34" s="220">
        <f>'Rider Rates'!$D$45</f>
        <v>46022</v>
      </c>
      <c r="Q34" s="229"/>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1"/>
        <v>0</v>
      </c>
      <c r="P35" s="220">
        <f>'Rider Rates'!E49</f>
        <v>45883</v>
      </c>
      <c r="Q35" s="229"/>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1"/>
        <v>0</v>
      </c>
      <c r="P36" s="220">
        <f>'Rider Rates'!$D$56</f>
        <v>45929</v>
      </c>
      <c r="Q36" s="229"/>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Rates'!$B$72+'Rider Rates'!$C$72</f>
        <v>0</v>
      </c>
      <c r="J37" s="93">
        <f>SUM(G37:I37)</f>
        <v>0</v>
      </c>
      <c r="K37" s="94" t="s">
        <v>42</v>
      </c>
      <c r="L37" s="95"/>
      <c r="M37" s="95"/>
      <c r="N37" s="78">
        <f>ROUND($D$37*'Rider Rates'!$B$72,2)+ROUND($D$37*'Rider Rates'!$C$72,2)</f>
        <v>0</v>
      </c>
      <c r="O37" s="95">
        <f>SUM(L37:N37)</f>
        <v>0</v>
      </c>
      <c r="P37" s="220">
        <f>'Rider Rates'!$D$72</f>
        <v>45444</v>
      </c>
      <c r="Q37" s="229"/>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Rates'!$B$78</f>
        <v>0</v>
      </c>
      <c r="J38" s="173">
        <f>IF('Customer Info'!C34=TRUE,0,SUM(G38:I38))</f>
        <v>0</v>
      </c>
      <c r="K38" s="94"/>
      <c r="L38" s="95"/>
      <c r="M38" s="95"/>
      <c r="N38" s="95">
        <f>J38</f>
        <v>0</v>
      </c>
      <c r="O38" s="95">
        <f>SUM(L38:N38)</f>
        <v>0</v>
      </c>
      <c r="P38" s="220">
        <f>'Rider Rates'!$D$78</f>
        <v>45444</v>
      </c>
      <c r="Q38" s="229"/>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$N$21</f>
        <v>9.4</v>
      </c>
      <c r="E39" s="91" t="s">
        <v>122</v>
      </c>
      <c r="F39" s="92" t="s">
        <v>8</v>
      </c>
      <c r="G39" s="99"/>
      <c r="H39" s="5"/>
      <c r="I39" s="106">
        <f>'Rider Rates'!$B$85</f>
        <v>3.5344300000000002E-2</v>
      </c>
      <c r="J39" s="106">
        <f t="shared" si="0"/>
        <v>3.5344300000000002E-2</v>
      </c>
      <c r="K39" s="94"/>
      <c r="L39" s="95"/>
      <c r="M39" s="95"/>
      <c r="N39" s="95">
        <f>ROUND(D39*I39,2)</f>
        <v>0.33</v>
      </c>
      <c r="O39" s="95">
        <f>SUM(L39:N39)</f>
        <v>0.33</v>
      </c>
      <c r="P39" s="220">
        <f>'Rider Rates'!$D$85</f>
        <v>45929</v>
      </c>
      <c r="Q39" s="229"/>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$N$21</f>
        <v>9.4</v>
      </c>
      <c r="E40" s="91" t="s">
        <v>122</v>
      </c>
      <c r="F40" s="92" t="s">
        <v>8</v>
      </c>
      <c r="G40" s="100"/>
      <c r="H40" s="101"/>
      <c r="I40" s="106">
        <f>'Rider Rates'!$B$87</f>
        <v>7.8822199999999995E-2</v>
      </c>
      <c r="J40" s="106">
        <f t="shared" si="0"/>
        <v>7.8822199999999995E-2</v>
      </c>
      <c r="K40" s="94"/>
      <c r="L40" s="95"/>
      <c r="M40" s="95"/>
      <c r="N40" s="95">
        <f>ROUND(D40*I40,2)</f>
        <v>0.74</v>
      </c>
      <c r="O40" s="95">
        <f>SUM(L40:N40)</f>
        <v>0.74</v>
      </c>
      <c r="P40" s="220">
        <f>'Rider Rates'!$D$87</f>
        <v>45987</v>
      </c>
      <c r="Q40" s="229"/>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SUM(L41:N41)</f>
        <v>21.84</v>
      </c>
      <c r="P41" s="220">
        <f>'Rider Rates'!$D$91</f>
        <v>46022</v>
      </c>
      <c r="Q41" s="229"/>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251</v>
      </c>
      <c r="B42" s="70"/>
      <c r="C42" s="70"/>
      <c r="D42" s="90">
        <f>$D$25</f>
        <v>0</v>
      </c>
      <c r="E42" s="91" t="s">
        <v>41</v>
      </c>
      <c r="F42" s="92" t="s">
        <v>8</v>
      </c>
      <c r="G42" s="93"/>
      <c r="H42" s="93"/>
      <c r="I42" s="93"/>
      <c r="J42" s="93">
        <f>'Rider Rates'!$B$98</f>
        <v>0</v>
      </c>
      <c r="K42" s="94" t="s">
        <v>42</v>
      </c>
      <c r="L42" s="95"/>
      <c r="M42" s="95"/>
      <c r="N42" s="95"/>
      <c r="O42" s="95">
        <f>ROUND($D42*('Rider Rates'!B$98),2)</f>
        <v>0</v>
      </c>
      <c r="P42" s="220">
        <f>'Rider Rates'!$D$98</f>
        <v>44531</v>
      </c>
      <c r="Q42" s="228"/>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252</v>
      </c>
      <c r="B43" s="70"/>
      <c r="C43" s="70"/>
      <c r="D43" s="90">
        <f>$D$26</f>
        <v>0</v>
      </c>
      <c r="E43" s="91"/>
      <c r="F43" s="92"/>
      <c r="G43" s="93"/>
      <c r="H43" s="93"/>
      <c r="I43" s="93"/>
      <c r="J43" s="93">
        <f>'Rider Rates'!$B$99</f>
        <v>0</v>
      </c>
      <c r="K43" s="94" t="s">
        <v>42</v>
      </c>
      <c r="L43" s="95"/>
      <c r="M43" s="95"/>
      <c r="N43" s="95"/>
      <c r="O43" s="95">
        <f>ROUND($D43*('Rider Rates'!B$99),2)</f>
        <v>0</v>
      </c>
      <c r="P43" s="220">
        <f>'Rider Rates'!$D$99</f>
        <v>44531</v>
      </c>
      <c r="Q43" s="228"/>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9.4</v>
      </c>
      <c r="E44" s="91" t="s">
        <v>122</v>
      </c>
      <c r="F44" s="92" t="s">
        <v>8</v>
      </c>
      <c r="G44" s="100"/>
      <c r="H44" s="101"/>
      <c r="I44" s="106">
        <f>'Rider Rates'!$B$105</f>
        <v>0.24079249999999999</v>
      </c>
      <c r="J44" s="106">
        <f t="shared" si="0"/>
        <v>0.24079249999999999</v>
      </c>
      <c r="K44" s="94"/>
      <c r="L44" s="95"/>
      <c r="M44" s="95"/>
      <c r="N44" s="95">
        <f>ROUND(D44*I44,2)</f>
        <v>2.2599999999999998</v>
      </c>
      <c r="O44" s="95">
        <f t="shared" ref="O44:O49" si="2">SUM(L44:N44)</f>
        <v>2.2599999999999998</v>
      </c>
      <c r="P44" s="220">
        <f>'Rider Rates'!$D$105</f>
        <v>45987</v>
      </c>
      <c r="Q44" s="228"/>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218</v>
      </c>
      <c r="B45" s="70"/>
      <c r="C45" s="70"/>
      <c r="D45" s="172"/>
      <c r="E45" s="91" t="s">
        <v>115</v>
      </c>
      <c r="F45" s="92"/>
      <c r="G45" s="100"/>
      <c r="H45" s="101"/>
      <c r="I45" s="233">
        <f>'Rider Rates'!B122</f>
        <v>0.99</v>
      </c>
      <c r="J45" s="173">
        <f t="shared" si="0"/>
        <v>0.99</v>
      </c>
      <c r="K45" s="94"/>
      <c r="L45" s="95"/>
      <c r="M45" s="95"/>
      <c r="N45" s="235">
        <f>'Rider Rates'!B122</f>
        <v>0.99</v>
      </c>
      <c r="O45" s="95">
        <f t="shared" si="2"/>
        <v>0.99</v>
      </c>
      <c r="P45" s="220">
        <f>'Rider Rates'!D122</f>
        <v>45958</v>
      </c>
      <c r="Q45" s="228"/>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f>
        <v>0</v>
      </c>
      <c r="E46" s="91" t="s">
        <v>41</v>
      </c>
      <c r="F46" s="92" t="s">
        <v>8</v>
      </c>
      <c r="G46" s="93">
        <f>'Rider Rates'!$B$112</f>
        <v>3.8972999999999998E-3</v>
      </c>
      <c r="H46" s="93"/>
      <c r="I46" s="106"/>
      <c r="J46" s="213">
        <f>SUM(G46:H46)</f>
        <v>3.8972999999999998E-3</v>
      </c>
      <c r="K46" s="94" t="s">
        <v>42</v>
      </c>
      <c r="L46" s="95">
        <f>ROUND(D46*G46,2)</f>
        <v>0</v>
      </c>
      <c r="M46" s="95"/>
      <c r="N46" s="95"/>
      <c r="O46" s="95">
        <f t="shared" si="2"/>
        <v>0</v>
      </c>
      <c r="P46" s="220">
        <f>'Rider Rates'!$D$112</f>
        <v>44531</v>
      </c>
      <c r="Q46" s="228"/>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IF($C$15&lt;1,0,$C$15)</f>
        <v>0</v>
      </c>
      <c r="E47" s="91" t="s">
        <v>41</v>
      </c>
      <c r="F47" s="224" t="s">
        <v>8</v>
      </c>
      <c r="G47" s="143"/>
      <c r="H47" s="143"/>
      <c r="I47" s="226">
        <f>'Rider Rates'!B118</f>
        <v>0</v>
      </c>
      <c r="J47" s="226">
        <f>SUM(G47:I47)</f>
        <v>0</v>
      </c>
      <c r="K47" s="94" t="s">
        <v>42</v>
      </c>
      <c r="L47" s="95"/>
      <c r="M47" s="95"/>
      <c r="N47" s="95">
        <f>D47*J47</f>
        <v>0</v>
      </c>
      <c r="O47" s="95">
        <f t="shared" si="2"/>
        <v>0</v>
      </c>
      <c r="P47" s="220">
        <f>'Rider Rates'!D118</f>
        <v>45657</v>
      </c>
      <c r="Q47" s="228"/>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233</v>
      </c>
      <c r="B48" s="70"/>
      <c r="C48" s="70"/>
      <c r="D48" s="90">
        <f>IF(C15&lt;0,0,IF(C15&gt;833000,833000,C15))</f>
        <v>0</v>
      </c>
      <c r="E48" s="91" t="s">
        <v>41</v>
      </c>
      <c r="F48" s="92" t="s">
        <v>8</v>
      </c>
      <c r="G48" s="240"/>
      <c r="H48" s="240"/>
      <c r="I48" s="240">
        <f>'Rider Rates'!$B$126</f>
        <v>0</v>
      </c>
      <c r="J48" s="240">
        <f>SUM(G48:I48)</f>
        <v>0</v>
      </c>
      <c r="K48" s="94" t="s">
        <v>42</v>
      </c>
      <c r="L48" s="241"/>
      <c r="M48" s="241"/>
      <c r="N48" s="241">
        <f>IF(D48*J48&gt;'Rider Rates'!$C$126,'Rider Rates'!$C$126,D48*J48)</f>
        <v>0</v>
      </c>
      <c r="O48" s="241">
        <f t="shared" si="2"/>
        <v>0</v>
      </c>
      <c r="P48" s="239">
        <f>'Rider Rates'!$E$126</f>
        <v>45883</v>
      </c>
      <c r="Q48" s="228"/>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234</v>
      </c>
      <c r="B49" s="70"/>
      <c r="C49" s="70"/>
      <c r="D49" s="1">
        <f>IF(C15&gt;833000,C15-833000,0)</f>
        <v>0</v>
      </c>
      <c r="E49" s="91" t="s">
        <v>41</v>
      </c>
      <c r="F49" s="92" t="s">
        <v>8</v>
      </c>
      <c r="G49" s="240"/>
      <c r="H49" s="240"/>
      <c r="I49" s="240">
        <f>'Rider Rates'!$B$127</f>
        <v>0</v>
      </c>
      <c r="J49" s="240">
        <f>SUM(G49:I49)</f>
        <v>0</v>
      </c>
      <c r="K49" s="94" t="s">
        <v>42</v>
      </c>
      <c r="L49" s="241"/>
      <c r="M49" s="241"/>
      <c r="N49" s="241">
        <f>D49*J49</f>
        <v>0</v>
      </c>
      <c r="O49" s="241">
        <f t="shared" si="2"/>
        <v>0</v>
      </c>
      <c r="P49" s="239">
        <f>'Rider Rates'!$E$127</f>
        <v>45883</v>
      </c>
      <c r="Q49" s="228"/>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C14</f>
        <v>0</v>
      </c>
      <c r="E50" s="91" t="s">
        <v>41</v>
      </c>
      <c r="F50" s="224" t="s">
        <v>8</v>
      </c>
      <c r="G50" s="93"/>
      <c r="H50" s="93"/>
      <c r="I50" s="93">
        <f>'Rider Rates'!$B$131</f>
        <v>0</v>
      </c>
      <c r="J50" s="213">
        <f>SUM(G50:I50)</f>
        <v>0</v>
      </c>
      <c r="K50" s="94" t="s">
        <v>42</v>
      </c>
      <c r="L50" s="95"/>
      <c r="M50" s="95"/>
      <c r="N50" s="95">
        <f>D50*J50</f>
        <v>0</v>
      </c>
      <c r="O50" s="95">
        <f>SUM(L50:N50)</f>
        <v>0</v>
      </c>
      <c r="P50" s="220">
        <f>'Rider Rates'!$D$131</f>
        <v>44531</v>
      </c>
      <c r="Q50" s="228"/>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Rates'!$B$138</f>
        <v>0</v>
      </c>
      <c r="J51" s="238">
        <f>SUM(G51:I51)</f>
        <v>0</v>
      </c>
      <c r="K51" s="94"/>
      <c r="L51" s="186"/>
      <c r="M51" s="186"/>
      <c r="N51" s="186">
        <f>J51</f>
        <v>0</v>
      </c>
      <c r="O51" s="186">
        <f>SUM(L51:N51)</f>
        <v>0</v>
      </c>
      <c r="P51" s="239">
        <f>'Rider Rates'!$D$138</f>
        <v>44531</v>
      </c>
      <c r="Q51" s="228"/>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228"/>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3">SUM(M25:M52)</f>
        <v>0</v>
      </c>
      <c r="N53" s="147">
        <f t="shared" si="3"/>
        <v>26.16</v>
      </c>
      <c r="O53" s="147">
        <f t="shared" si="3"/>
        <v>26.16</v>
      </c>
      <c r="P53" s="161"/>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147"/>
      <c r="N54" s="92"/>
      <c r="O54" s="92"/>
      <c r="P54" s="142"/>
      <c r="Q54" s="92"/>
      <c r="R54" s="165"/>
      <c r="S54" s="94"/>
      <c r="T54" s="97"/>
      <c r="U54" s="70"/>
      <c r="V54" s="94"/>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3" t="s">
        <v>72</v>
      </c>
      <c r="B55" s="148"/>
      <c r="C55" s="148"/>
      <c r="D55" s="148"/>
      <c r="E55" s="148"/>
      <c r="F55" s="148"/>
      <c r="G55" s="148"/>
      <c r="H55" s="148"/>
      <c r="I55" s="148"/>
      <c r="J55" s="148"/>
      <c r="K55" s="148"/>
      <c r="L55" s="163">
        <f>L21+L53</f>
        <v>0</v>
      </c>
      <c r="M55" s="163">
        <f>M21+M53</f>
        <v>0</v>
      </c>
      <c r="N55" s="163">
        <f>N21+N53</f>
        <v>35.56</v>
      </c>
      <c r="O55" s="164">
        <f>O21+O53</f>
        <v>35.56</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144"/>
      <c r="S56" s="144"/>
      <c r="T56" s="166"/>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O19+O53</f>
        <v>35.56</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35.56</v>
      </c>
      <c r="P60" s="92"/>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c r="J63" s="70"/>
      <c r="K63" s="70"/>
      <c r="L63" s="70"/>
      <c r="M63" s="70"/>
      <c r="N63" s="70"/>
      <c r="O63" s="218"/>
      <c r="P63" s="23"/>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84</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row>
    <row r="6" spans="1:30" x14ac:dyDescent="0.2">
      <c r="A6" s="69">
        <f ca="1">TODAY()</f>
        <v>46051</v>
      </c>
      <c r="B6" s="187" t="s">
        <v>229</v>
      </c>
      <c r="C6" s="69"/>
      <c r="D6" s="69"/>
      <c r="E6" s="69"/>
      <c r="F6" s="69"/>
      <c r="G6" s="69"/>
      <c r="H6" s="69"/>
      <c r="I6" s="69"/>
    </row>
    <row r="7" spans="1:30" ht="26.25" x14ac:dyDescent="0.4">
      <c r="A7" s="436"/>
      <c r="B7" s="436"/>
      <c r="C7" s="436"/>
      <c r="D7" s="436"/>
      <c r="E7" s="436"/>
      <c r="F7" s="436"/>
      <c r="G7" s="436"/>
      <c r="H7" s="436"/>
      <c r="I7" s="436"/>
      <c r="J7" s="436"/>
      <c r="K7" s="436"/>
      <c r="L7" s="436"/>
      <c r="M7" s="436"/>
      <c r="N7" s="436"/>
      <c r="O7" s="436"/>
      <c r="P7" s="436"/>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0" t="s">
        <v>68</v>
      </c>
      <c r="H19" s="421"/>
      <c r="I19" s="421"/>
      <c r="J19" s="422"/>
      <c r="K19" s="20"/>
      <c r="L19" s="423" t="s">
        <v>69</v>
      </c>
      <c r="M19" s="423"/>
      <c r="N19" s="423"/>
      <c r="O19" s="423"/>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'GS-Pilot PEV'!C16+'GS-Pilot PEV'!C17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274</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273</v>
      </c>
      <c r="C6" s="69"/>
      <c r="D6" s="69"/>
      <c r="E6" s="69"/>
      <c r="F6" s="69"/>
      <c r="G6" s="69"/>
      <c r="H6" s="69"/>
      <c r="I6" s="69"/>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8" t="s">
        <v>15</v>
      </c>
      <c r="E18" s="438"/>
      <c r="F18" s="438"/>
      <c r="G18" s="438"/>
      <c r="H18" s="438"/>
      <c r="K18" s="27"/>
      <c r="L18" s="27"/>
      <c r="M18" s="27"/>
      <c r="N18" s="27"/>
      <c r="O18" s="45"/>
    </row>
    <row r="19" spans="1:30" x14ac:dyDescent="0.2">
      <c r="A19" s="27" t="s">
        <v>15</v>
      </c>
      <c r="B19" s="27"/>
      <c r="C19" s="74" t="s">
        <v>15</v>
      </c>
      <c r="D19" s="438" t="s">
        <v>15</v>
      </c>
      <c r="E19" s="438"/>
      <c r="F19" s="438"/>
      <c r="G19" s="438"/>
      <c r="H19" s="438"/>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0" t="s">
        <v>68</v>
      </c>
      <c r="H21" s="421"/>
      <c r="I21" s="421"/>
      <c r="J21" s="422"/>
      <c r="K21" s="20"/>
      <c r="L21" s="423" t="s">
        <v>69</v>
      </c>
      <c r="M21" s="423"/>
      <c r="N21" s="423"/>
      <c r="O21" s="423"/>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9.4</v>
      </c>
      <c r="J23" s="78">
        <f>SUM(G23:I23)</f>
        <v>9.4</v>
      </c>
      <c r="L23" s="79"/>
      <c r="M23" s="79"/>
      <c r="N23" s="79">
        <f>I23</f>
        <v>9.4</v>
      </c>
      <c r="O23" s="186">
        <f>SUM(L23:N23)</f>
        <v>9.4</v>
      </c>
      <c r="P23" s="220">
        <v>44531</v>
      </c>
    </row>
    <row r="24" spans="1:30" x14ac:dyDescent="0.2">
      <c r="A24" t="s">
        <v>132</v>
      </c>
      <c r="D24" s="1">
        <f>D16</f>
        <v>0</v>
      </c>
      <c r="E24" s="91" t="s">
        <v>41</v>
      </c>
      <c r="F24" s="92" t="s">
        <v>8</v>
      </c>
      <c r="G24" s="76"/>
      <c r="H24" s="78"/>
      <c r="I24" s="245">
        <v>2.05802E-2</v>
      </c>
      <c r="J24" s="245">
        <f>SUM(G24:I24)</f>
        <v>2.05802E-2</v>
      </c>
      <c r="K24" s="94" t="s">
        <v>42</v>
      </c>
      <c r="L24" s="78"/>
      <c r="M24" s="79"/>
      <c r="N24" s="246">
        <f>D24*J24</f>
        <v>0</v>
      </c>
      <c r="O24" s="186">
        <f>N24</f>
        <v>0</v>
      </c>
      <c r="P24" s="220"/>
    </row>
    <row r="25" spans="1:30" x14ac:dyDescent="0.2">
      <c r="A25" s="33" t="s">
        <v>50</v>
      </c>
      <c r="B25" s="33"/>
      <c r="C25" s="33"/>
      <c r="D25" s="34"/>
      <c r="E25" s="34"/>
      <c r="F25" s="33"/>
      <c r="G25" s="33"/>
      <c r="H25" s="33"/>
      <c r="I25" s="33"/>
      <c r="J25" s="33"/>
      <c r="K25" s="35"/>
      <c r="L25" s="36"/>
      <c r="M25" s="36"/>
      <c r="N25" s="36">
        <f>SUM(N23:N24)</f>
        <v>9.4</v>
      </c>
      <c r="O25" s="36">
        <f>SUM(O23:O24)</f>
        <v>9.4</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9.4</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Rates'!B23</f>
        <v>7.6880000000000004E-2</v>
      </c>
      <c r="H35" s="93"/>
      <c r="I35" s="93"/>
      <c r="J35" s="213">
        <f>SUM(G35:H35)</f>
        <v>7.6880000000000004E-2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Rates'!B34</f>
        <v>1.8180000000000002E-2</v>
      </c>
      <c r="H36" s="93"/>
      <c r="I36" s="93"/>
      <c r="J36" s="213">
        <f>SUM(G36:H36)</f>
        <v>1.8180000000000002E-2</v>
      </c>
      <c r="K36" s="94" t="s">
        <v>42</v>
      </c>
      <c r="L36" s="95">
        <f>ROUND(D36*G36,2)</f>
        <v>0</v>
      </c>
      <c r="M36" s="95"/>
      <c r="N36" s="95"/>
      <c r="O36" s="95">
        <f t="shared" si="0"/>
        <v>0</v>
      </c>
      <c r="P36" s="220">
        <f>'Rider Rates'!$D$34</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1">
        <f>IF($C$16&lt;0,0,IF($C$16&gt;833000,833000,$C$16))</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Rates'!G55</f>
        <v>2.1561400000000001E-2</v>
      </c>
      <c r="I39" s="93"/>
      <c r="J39" s="93">
        <f>SUM(G39:I39)</f>
        <v>2.1561400000000001E-2</v>
      </c>
      <c r="K39" s="94" t="s">
        <v>42</v>
      </c>
      <c r="L39" s="95"/>
      <c r="M39" s="95">
        <f>ROUND(D39*H39,2)</f>
        <v>0</v>
      </c>
      <c r="N39" s="182"/>
      <c r="O39" s="95">
        <f t="shared" si="0"/>
        <v>0</v>
      </c>
      <c r="P39" s="220">
        <f>'Rider Rates'!H55</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9.4</v>
      </c>
      <c r="E41" s="91" t="s">
        <v>122</v>
      </c>
      <c r="F41" s="92" t="s">
        <v>8</v>
      </c>
      <c r="G41" s="99"/>
      <c r="H41" s="5"/>
      <c r="I41" s="106">
        <f>'Rider Rates'!$B$85</f>
        <v>3.5344300000000002E-2</v>
      </c>
      <c r="J41" s="106">
        <f>SUM(H41:I41)</f>
        <v>3.5344300000000002E-2</v>
      </c>
      <c r="K41" s="94"/>
      <c r="L41" s="95"/>
      <c r="M41" s="95"/>
      <c r="N41" s="95">
        <f>ROUND(N$25*I41,2)</f>
        <v>0.33</v>
      </c>
      <c r="O41" s="186">
        <f t="shared" si="0"/>
        <v>0.33</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9.4</v>
      </c>
      <c r="E42" s="91" t="s">
        <v>122</v>
      </c>
      <c r="F42" s="92" t="s">
        <v>8</v>
      </c>
      <c r="G42" s="100"/>
      <c r="H42" s="101"/>
      <c r="I42" s="106">
        <f>'Rider Rates'!$B$87</f>
        <v>7.8822199999999995E-2</v>
      </c>
      <c r="J42" s="106">
        <f>SUM(H42:I42)</f>
        <v>7.8822199999999995E-2</v>
      </c>
      <c r="K42" s="94"/>
      <c r="L42" s="95"/>
      <c r="M42" s="95"/>
      <c r="N42" s="95">
        <f>ROUND(N$25*I42,2)</f>
        <v>0.74</v>
      </c>
      <c r="O42" s="186">
        <f t="shared" si="0"/>
        <v>0.74</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9.4</v>
      </c>
      <c r="E46" s="91" t="s">
        <v>122</v>
      </c>
      <c r="F46" s="92" t="s">
        <v>8</v>
      </c>
      <c r="G46" s="100"/>
      <c r="H46" s="101"/>
      <c r="I46" s="106">
        <f>'Rider Rates'!$B$105</f>
        <v>0.24079249999999999</v>
      </c>
      <c r="J46" s="106">
        <f>SUM(H46:I46)</f>
        <v>0.24079249999999999</v>
      </c>
      <c r="K46" s="94"/>
      <c r="L46" s="95"/>
      <c r="M46" s="95"/>
      <c r="N46" s="95">
        <f>ROUND(N$25*I46,2)</f>
        <v>2.2599999999999998</v>
      </c>
      <c r="O46" s="95">
        <f t="shared" si="0"/>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Rates'!$B$112</f>
        <v>3.8972999999999998E-3</v>
      </c>
      <c r="H48" s="93"/>
      <c r="I48" s="106"/>
      <c r="J48" s="213">
        <f>SUM(G48:H48)</f>
        <v>3.8972999999999998E-3</v>
      </c>
      <c r="K48" s="94" t="s">
        <v>42</v>
      </c>
      <c r="L48" s="95">
        <f>ROUND(D48*G48,2)</f>
        <v>0</v>
      </c>
      <c r="M48" s="95"/>
      <c r="N48" s="95"/>
      <c r="O48" s="95">
        <f t="shared" si="1"/>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26.16</v>
      </c>
      <c r="O55" s="147">
        <f t="shared" si="2"/>
        <v>26.16</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35.56</v>
      </c>
      <c r="O57" s="88">
        <f>O25+O55</f>
        <v>35.56</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35.56</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35.56</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8"/>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262</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261</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8" t="s">
        <v>15</v>
      </c>
      <c r="E18" s="438"/>
      <c r="F18" s="438"/>
      <c r="G18" s="438"/>
      <c r="H18" s="438"/>
      <c r="K18" s="27"/>
      <c r="L18" s="27"/>
      <c r="M18" s="27"/>
      <c r="N18" s="27"/>
      <c r="O18" s="45"/>
    </row>
    <row r="19" spans="1:30" x14ac:dyDescent="0.2">
      <c r="A19" s="27" t="s">
        <v>15</v>
      </c>
      <c r="B19" s="27"/>
      <c r="C19" s="74" t="s">
        <v>15</v>
      </c>
      <c r="D19" s="438" t="s">
        <v>15</v>
      </c>
      <c r="E19" s="438"/>
      <c r="F19" s="438"/>
      <c r="G19" s="438"/>
      <c r="H19" s="438"/>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0" t="s">
        <v>68</v>
      </c>
      <c r="H21" s="421"/>
      <c r="I21" s="421"/>
      <c r="J21" s="422"/>
      <c r="K21" s="20"/>
      <c r="L21" s="423" t="s">
        <v>69</v>
      </c>
      <c r="M21" s="423"/>
      <c r="N21" s="423"/>
      <c r="O21" s="423"/>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138.5</v>
      </c>
      <c r="J23" s="78">
        <f>SUM(G23:I23)</f>
        <v>138.5</v>
      </c>
      <c r="L23" s="79"/>
      <c r="M23" s="79"/>
      <c r="N23" s="79">
        <f>I23</f>
        <v>138.5</v>
      </c>
      <c r="O23" s="186">
        <f>SUM(L23:N23)</f>
        <v>138.5</v>
      </c>
      <c r="P23" s="220">
        <v>44531</v>
      </c>
    </row>
    <row r="24" spans="1:30" x14ac:dyDescent="0.2">
      <c r="A24" t="s">
        <v>132</v>
      </c>
      <c r="D24" s="1">
        <f>D16</f>
        <v>0</v>
      </c>
      <c r="E24" s="91" t="s">
        <v>41</v>
      </c>
      <c r="F24" s="92" t="s">
        <v>8</v>
      </c>
      <c r="G24" s="76"/>
      <c r="H24" s="78"/>
      <c r="I24" s="76">
        <v>1.37173E-2</v>
      </c>
      <c r="J24" s="76">
        <f>I24</f>
        <v>1.37173E-2</v>
      </c>
      <c r="K24" s="94" t="s">
        <v>42</v>
      </c>
      <c r="L24" s="78"/>
      <c r="M24" s="79"/>
      <c r="N24" s="78">
        <f>D24*J24</f>
        <v>0</v>
      </c>
      <c r="O24" s="186">
        <f>SUM(L24:N24)</f>
        <v>0</v>
      </c>
      <c r="P24" s="220"/>
    </row>
    <row r="25" spans="1:30" x14ac:dyDescent="0.2">
      <c r="A25" s="33" t="s">
        <v>50</v>
      </c>
      <c r="B25" s="33"/>
      <c r="C25" s="33"/>
      <c r="D25" s="34"/>
      <c r="E25" s="34"/>
      <c r="F25" s="33"/>
      <c r="G25" s="33"/>
      <c r="H25" s="33"/>
      <c r="I25" s="33"/>
      <c r="J25" s="33"/>
      <c r="K25" s="35"/>
      <c r="L25" s="36"/>
      <c r="M25" s="36"/>
      <c r="N25" s="36">
        <f>SUM(N23:N24)</f>
        <v>138.5</v>
      </c>
      <c r="O25" s="36">
        <f>SUM(O23:O24)</f>
        <v>138.5</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138.5</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Rates'!B24</f>
        <v>7.4289999999999995E-2</v>
      </c>
      <c r="H35" s="93"/>
      <c r="I35" s="93"/>
      <c r="J35" s="213">
        <f>SUM(G35:H35)</f>
        <v>7.4289999999999995E-2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Rates'!$B$37</f>
        <v>1.3849999999999999E-2</v>
      </c>
      <c r="H36" s="93"/>
      <c r="I36" s="93"/>
      <c r="J36" s="213">
        <f>SUM(G36:H36)</f>
        <v>1.3849999999999999E-2</v>
      </c>
      <c r="K36" s="94" t="s">
        <v>42</v>
      </c>
      <c r="L36" s="95">
        <f>ROUND(D36*G36,2)</f>
        <v>0</v>
      </c>
      <c r="M36" s="95"/>
      <c r="N36" s="95"/>
      <c r="O36" s="95">
        <f t="shared" si="0"/>
        <v>0</v>
      </c>
      <c r="P36" s="220">
        <f>'Rider Rates'!$D$37</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90">
        <f>'Customer Info'!$B$21+'Customer Info'!$B$22-'Customer Info'!$B$23</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Rates'!G56</f>
        <v>2.8046499999999999E-2</v>
      </c>
      <c r="I39" s="93"/>
      <c r="J39" s="93">
        <f>SUM(G39:I39)</f>
        <v>2.8046499999999999E-2</v>
      </c>
      <c r="K39" s="94" t="s">
        <v>42</v>
      </c>
      <c r="L39" s="95"/>
      <c r="M39" s="95">
        <f>ROUND(D39*H39,2)</f>
        <v>0</v>
      </c>
      <c r="N39" s="182"/>
      <c r="O39" s="95">
        <f t="shared" si="0"/>
        <v>0</v>
      </c>
      <c r="P39" s="220">
        <f>'Rider Rates'!H56</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138.5</v>
      </c>
      <c r="E41" s="91" t="s">
        <v>122</v>
      </c>
      <c r="F41" s="92" t="s">
        <v>8</v>
      </c>
      <c r="G41" s="99"/>
      <c r="H41" s="5"/>
      <c r="I41" s="106">
        <f>'Rider Rates'!$B$85</f>
        <v>3.5344300000000002E-2</v>
      </c>
      <c r="J41" s="106">
        <f>SUM(H41:I41)</f>
        <v>3.5344300000000002E-2</v>
      </c>
      <c r="K41" s="94"/>
      <c r="L41" s="95"/>
      <c r="M41" s="95"/>
      <c r="N41" s="95">
        <f>ROUND(N$25*I41,2)</f>
        <v>4.9000000000000004</v>
      </c>
      <c r="O41" s="186">
        <f t="shared" si="0"/>
        <v>4.9000000000000004</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138.5</v>
      </c>
      <c r="E42" s="91" t="s">
        <v>122</v>
      </c>
      <c r="F42" s="92" t="s">
        <v>8</v>
      </c>
      <c r="G42" s="100"/>
      <c r="H42" s="101"/>
      <c r="I42" s="106">
        <f>'Rider Rates'!$B$87</f>
        <v>7.8822199999999995E-2</v>
      </c>
      <c r="J42" s="106">
        <f>SUM(H42:I42)</f>
        <v>7.8822199999999995E-2</v>
      </c>
      <c r="K42" s="94"/>
      <c r="L42" s="95"/>
      <c r="M42" s="95"/>
      <c r="N42" s="95">
        <f>ROUND(N$25*I42,2)</f>
        <v>10.92</v>
      </c>
      <c r="O42" s="186">
        <f t="shared" si="0"/>
        <v>10.92</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138.5</v>
      </c>
      <c r="E46" s="91" t="s">
        <v>122</v>
      </c>
      <c r="F46" s="92" t="s">
        <v>8</v>
      </c>
      <c r="G46" s="100"/>
      <c r="H46" s="101"/>
      <c r="I46" s="106">
        <f>'Rider Rates'!$B$105</f>
        <v>0.24079249999999999</v>
      </c>
      <c r="J46" s="106">
        <f>SUM(H46:I46)</f>
        <v>0.24079249999999999</v>
      </c>
      <c r="K46" s="94"/>
      <c r="L46" s="95"/>
      <c r="M46" s="95"/>
      <c r="N46" s="95">
        <f>ROUND(N$25*I46,2)</f>
        <v>33.35</v>
      </c>
      <c r="O46" s="95">
        <f t="shared" si="0"/>
        <v>33.35</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Rates'!$B$113</f>
        <v>3.7618E-3</v>
      </c>
      <c r="H48" s="93"/>
      <c r="I48" s="106"/>
      <c r="J48" s="213">
        <f>SUM(G48:H48)</f>
        <v>3.7618E-3</v>
      </c>
      <c r="K48" s="94" t="s">
        <v>42</v>
      </c>
      <c r="L48" s="95">
        <f>ROUND(D48*G48,2)</f>
        <v>0</v>
      </c>
      <c r="M48" s="95"/>
      <c r="N48" s="95"/>
      <c r="O48" s="95">
        <f t="shared" si="1"/>
        <v>0</v>
      </c>
      <c r="P48" s="220">
        <f>'Rider Rates'!$D$113</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71.999999999999986</v>
      </c>
      <c r="O55" s="147">
        <f t="shared" si="2"/>
        <v>71.999999999999986</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210.5</v>
      </c>
      <c r="O57" s="88">
        <f>O25+O55</f>
        <v>210.5</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210.5</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210.5</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8"/>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323</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324</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ht="14.45" customHeight="1"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Rates'!B144</f>
        <v>9.4</v>
      </c>
      <c r="J21" s="345">
        <f>SUM(G21:I21)</f>
        <v>9.4</v>
      </c>
      <c r="L21" s="367"/>
      <c r="M21" s="367"/>
      <c r="N21" s="367">
        <f>I21</f>
        <v>9.4</v>
      </c>
      <c r="O21" s="345">
        <f>SUM(L21:N21)</f>
        <v>9.4</v>
      </c>
      <c r="P21" s="306">
        <v>44531</v>
      </c>
    </row>
    <row r="22" spans="1:22" x14ac:dyDescent="0.2">
      <c r="A22" s="328" t="s">
        <v>132</v>
      </c>
      <c r="D22" s="308">
        <f>C15</f>
        <v>0</v>
      </c>
      <c r="E22" s="309" t="s">
        <v>41</v>
      </c>
      <c r="F22" s="310" t="s">
        <v>8</v>
      </c>
      <c r="G22" s="344"/>
      <c r="H22" s="344"/>
      <c r="I22" s="344">
        <f>'Rider Rates'!C144</f>
        <v>2.0634799999999998E-2</v>
      </c>
      <c r="J22" s="344">
        <f>SUM(G22:I22)</f>
        <v>2.0634799999999998E-2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9.4</v>
      </c>
      <c r="O23" s="317">
        <f>SUM(O21:O22)</f>
        <v>9.4</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9.4</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90">
        <f>'Customer Info'!$B$21+'Customer Info'!$B$22-'Customer Info'!$B$23</f>
        <v>0</v>
      </c>
      <c r="E34" s="309" t="s">
        <v>41</v>
      </c>
      <c r="F34" s="310" t="s">
        <v>8</v>
      </c>
      <c r="G34" s="330">
        <f>'Rider Rates'!B22</f>
        <v>7.6880000000000004E-2</v>
      </c>
      <c r="H34" s="330"/>
      <c r="I34" s="330"/>
      <c r="J34" s="335">
        <f>SUM(G34:H34)</f>
        <v>7.6880000000000004E-2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C16</f>
        <v>0</v>
      </c>
      <c r="E35" s="309" t="s">
        <v>41</v>
      </c>
      <c r="F35" s="310" t="s">
        <v>8</v>
      </c>
      <c r="G35" s="330">
        <f>'Rider Rates'!B41</f>
        <v>2.10674E-2</v>
      </c>
      <c r="H35" s="330"/>
      <c r="I35" s="330"/>
      <c r="J35" s="335">
        <f>SUM(G35:H35)</f>
        <v>2.10674E-2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C17</f>
        <v>0</v>
      </c>
      <c r="E36" s="309" t="s">
        <v>41</v>
      </c>
      <c r="F36" s="303" t="s">
        <v>8</v>
      </c>
      <c r="G36" s="330">
        <f>'Rider Rates'!C41</f>
        <v>9.0900000000000009E-3</v>
      </c>
      <c r="H36" s="330"/>
      <c r="I36" s="330"/>
      <c r="J36" s="335">
        <f>SUM(G36:H36)</f>
        <v>9.0900000000000009E-3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53">
        <f>$N$23</f>
        <v>9.4</v>
      </c>
      <c r="E42" s="309" t="s">
        <v>122</v>
      </c>
      <c r="F42" s="310" t="s">
        <v>8</v>
      </c>
      <c r="G42" s="337"/>
      <c r="H42" s="301"/>
      <c r="I42" s="338">
        <f>'Rider Rates'!$B$85</f>
        <v>3.5344300000000002E-2</v>
      </c>
      <c r="J42" s="338">
        <f t="shared" si="0"/>
        <v>3.5344300000000002E-2</v>
      </c>
      <c r="K42" s="312"/>
      <c r="L42" s="225"/>
      <c r="M42" s="225"/>
      <c r="N42" s="225">
        <f>ROUND(D42*I42,2)</f>
        <v>0.33</v>
      </c>
      <c r="O42" s="225">
        <f t="shared" si="2"/>
        <v>0.33</v>
      </c>
      <c r="P42" s="306">
        <f>'Rider Rates'!$D$85</f>
        <v>45929</v>
      </c>
      <c r="Q42" s="310"/>
      <c r="R42" s="327"/>
      <c r="S42" s="312"/>
      <c r="T42" s="322"/>
      <c r="V42" s="323"/>
    </row>
    <row r="43" spans="1:22" x14ac:dyDescent="0.2">
      <c r="A43" s="328" t="s">
        <v>82</v>
      </c>
      <c r="D43" s="333">
        <f>$N$23</f>
        <v>9.4</v>
      </c>
      <c r="E43" s="309" t="s">
        <v>122</v>
      </c>
      <c r="F43" s="310" t="s">
        <v>8</v>
      </c>
      <c r="G43" s="339"/>
      <c r="H43" s="301"/>
      <c r="I43" s="338">
        <f>'Rider Rates'!$B$87</f>
        <v>7.8822199999999995E-2</v>
      </c>
      <c r="J43" s="338">
        <f t="shared" si="0"/>
        <v>7.8822199999999995E-2</v>
      </c>
      <c r="K43" s="312"/>
      <c r="L43" s="225"/>
      <c r="M43" s="225"/>
      <c r="N43" s="225">
        <f>ROUND(D43*I43,2)</f>
        <v>0.74</v>
      </c>
      <c r="O43" s="225">
        <f t="shared" si="2"/>
        <v>0.74</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9.4</v>
      </c>
      <c r="E46" s="309" t="s">
        <v>122</v>
      </c>
      <c r="F46" s="310" t="s">
        <v>8</v>
      </c>
      <c r="G46" s="339"/>
      <c r="H46" s="301"/>
      <c r="I46" s="338">
        <f>'Rider Rates'!$B$105</f>
        <v>0.24079249999999999</v>
      </c>
      <c r="J46" s="338">
        <f t="shared" si="0"/>
        <v>0.24079249999999999</v>
      </c>
      <c r="K46" s="312"/>
      <c r="L46" s="225"/>
      <c r="M46" s="225"/>
      <c r="N46" s="225">
        <f>ROUND(D46*I46,2)</f>
        <v>2.2599999999999998</v>
      </c>
      <c r="O46" s="225">
        <f t="shared" si="2"/>
        <v>2.2599999999999998</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Rates'!$B$112</f>
        <v>3.8972999999999998E-3</v>
      </c>
      <c r="H48" s="330"/>
      <c r="I48" s="338"/>
      <c r="J48" s="335">
        <f>SUM(G48:H48)</f>
        <v>3.8972999999999998E-3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3">SUM(M27:M54)</f>
        <v>0</v>
      </c>
      <c r="N55" s="351">
        <f t="shared" si="3"/>
        <v>26.16</v>
      </c>
      <c r="O55" s="351">
        <f t="shared" si="3"/>
        <v>26.16</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35.56</v>
      </c>
      <c r="O57" s="356">
        <f>O23+O55</f>
        <v>35.56</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35.56</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35.56</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327</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325</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Rates'!B145</f>
        <v>138.5</v>
      </c>
      <c r="J21" s="345">
        <f>SUM(G21:I21)</f>
        <v>138.5</v>
      </c>
      <c r="L21" s="367"/>
      <c r="M21" s="367"/>
      <c r="N21" s="367">
        <f>I21</f>
        <v>138.5</v>
      </c>
      <c r="O21" s="345">
        <f>SUM(L21:N21)</f>
        <v>138.5</v>
      </c>
      <c r="P21" s="306">
        <v>44531</v>
      </c>
    </row>
    <row r="22" spans="1:22" x14ac:dyDescent="0.2">
      <c r="A22" s="328" t="s">
        <v>132</v>
      </c>
      <c r="D22" s="308">
        <f>C15</f>
        <v>0</v>
      </c>
      <c r="E22" s="309" t="s">
        <v>41</v>
      </c>
      <c r="F22" s="310" t="s">
        <v>8</v>
      </c>
      <c r="G22" s="344"/>
      <c r="H22" s="344"/>
      <c r="I22" s="376">
        <f>'Rider Rates'!C145</f>
        <v>1.3832199999999999E-2</v>
      </c>
      <c r="J22" s="344">
        <f>SUM(G22:I22)</f>
        <v>1.3832199999999999E-2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138.5</v>
      </c>
      <c r="O23" s="317">
        <f>SUM(O21:O22)</f>
        <v>138.5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138.5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f>'Rider Rates'!B24</f>
        <v>7.4289999999999995E-2</v>
      </c>
      <c r="H34" s="330"/>
      <c r="I34" s="330"/>
      <c r="J34" s="335">
        <f>SUM(G34:H34)</f>
        <v>7.4289999999999995E-2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f>'Rider Rates'!B42</f>
        <v>1.6396899999999999E-2</v>
      </c>
      <c r="H35" s="330"/>
      <c r="I35" s="330"/>
      <c r="J35" s="335">
        <f>SUM(G35:H35)</f>
        <v>1.6396899999999999E-2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f>'Rider Rates'!C42</f>
        <v>6.9249999999999997E-3</v>
      </c>
      <c r="H36" s="330"/>
      <c r="I36" s="330"/>
      <c r="J36" s="335">
        <f>SUM(G36:H36)</f>
        <v>6.9249999999999997E-3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138.5</v>
      </c>
      <c r="E42" s="309" t="s">
        <v>122</v>
      </c>
      <c r="F42" s="310" t="s">
        <v>8</v>
      </c>
      <c r="G42" s="337"/>
      <c r="H42" s="301"/>
      <c r="I42" s="338">
        <f>'Rider Rates'!$B$85</f>
        <v>3.5344300000000002E-2</v>
      </c>
      <c r="J42" s="338">
        <f t="shared" si="0"/>
        <v>3.5344300000000002E-2</v>
      </c>
      <c r="K42" s="312"/>
      <c r="L42" s="225"/>
      <c r="M42" s="225"/>
      <c r="N42" s="225">
        <f>ROUND(D42*I42,2)</f>
        <v>4.9000000000000004</v>
      </c>
      <c r="O42" s="225">
        <f t="shared" si="2"/>
        <v>4.9000000000000004</v>
      </c>
      <c r="P42" s="306">
        <f>'Rider Rates'!$D$85</f>
        <v>45929</v>
      </c>
      <c r="Q42" s="310"/>
      <c r="R42" s="327"/>
      <c r="S42" s="312"/>
      <c r="T42" s="322"/>
      <c r="V42" s="323"/>
    </row>
    <row r="43" spans="1:22" x14ac:dyDescent="0.2">
      <c r="A43" s="328" t="s">
        <v>82</v>
      </c>
      <c r="D43" s="333">
        <f>$N$23</f>
        <v>138.5</v>
      </c>
      <c r="E43" s="309" t="s">
        <v>122</v>
      </c>
      <c r="F43" s="310" t="s">
        <v>8</v>
      </c>
      <c r="G43" s="339"/>
      <c r="H43" s="301"/>
      <c r="I43" s="338">
        <f>'Rider Rates'!$B$87</f>
        <v>7.8822199999999995E-2</v>
      </c>
      <c r="J43" s="338">
        <f t="shared" si="0"/>
        <v>7.8822199999999995E-2</v>
      </c>
      <c r="K43" s="312"/>
      <c r="L43" s="225"/>
      <c r="M43" s="225"/>
      <c r="N43" s="225">
        <f>ROUND(D43*I43,2)</f>
        <v>10.92</v>
      </c>
      <c r="O43" s="225">
        <f t="shared" si="2"/>
        <v>10.92</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138.5</v>
      </c>
      <c r="E46" s="309" t="s">
        <v>122</v>
      </c>
      <c r="F46" s="310" t="s">
        <v>8</v>
      </c>
      <c r="G46" s="339"/>
      <c r="H46" s="301"/>
      <c r="I46" s="338">
        <f>'Rider Rates'!$B$105</f>
        <v>0.24079249999999999</v>
      </c>
      <c r="J46" s="338">
        <f t="shared" si="0"/>
        <v>0.24079249999999999</v>
      </c>
      <c r="K46" s="312"/>
      <c r="L46" s="225"/>
      <c r="M46" s="225"/>
      <c r="N46" s="225">
        <f>ROUND(D46*I46,2)</f>
        <v>33.35</v>
      </c>
      <c r="O46" s="225">
        <f t="shared" si="2"/>
        <v>33.35</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Rates'!B113</f>
        <v>3.7618E-3</v>
      </c>
      <c r="H48" s="330"/>
      <c r="I48" s="338"/>
      <c r="J48" s="335">
        <f>SUM(G48:H48)</f>
        <v>3.7618E-3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71.999999999999986</v>
      </c>
      <c r="O55" s="351">
        <f t="shared" si="4"/>
        <v>71.999999999999986</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210.5</v>
      </c>
      <c r="O57" s="356">
        <f>O23+O55</f>
        <v>210.5</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210.5</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210.5</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326</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328</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Rates'!B146</f>
        <v>825</v>
      </c>
      <c r="J21" s="345">
        <f>SUM(G21:I21)</f>
        <v>825</v>
      </c>
      <c r="L21" s="367"/>
      <c r="M21" s="367"/>
      <c r="N21" s="367">
        <f>I21</f>
        <v>825</v>
      </c>
      <c r="O21" s="345">
        <f>SUM(L21:N21)</f>
        <v>825</v>
      </c>
      <c r="P21" s="306">
        <v>44531</v>
      </c>
    </row>
    <row r="22" spans="1:22" x14ac:dyDescent="0.2">
      <c r="A22" s="328" t="s">
        <v>132</v>
      </c>
      <c r="D22" s="308">
        <f>C15</f>
        <v>0</v>
      </c>
      <c r="E22" s="309" t="s">
        <v>41</v>
      </c>
      <c r="F22" s="310" t="s">
        <v>8</v>
      </c>
      <c r="G22" s="344"/>
      <c r="H22" s="344"/>
      <c r="I22" s="376">
        <f>'Rider Rates'!C146</f>
        <v>5.9799999999999997E-5</v>
      </c>
      <c r="J22" s="344">
        <f>SUM(G22:I22)</f>
        <v>5.9799999999999997E-5</v>
      </c>
      <c r="K22" s="312" t="s">
        <v>42</v>
      </c>
      <c r="L22" s="345"/>
      <c r="M22" s="345"/>
      <c r="N22" s="345">
        <f>IF(C15&lt;0,0,ROUND($D22*I22,2))</f>
        <v>0</v>
      </c>
      <c r="O22" s="345">
        <f>SUM(L22:N22)</f>
        <v>0</v>
      </c>
      <c r="P22" s="306">
        <f>'Rider Rates'!H146</f>
        <v>45444</v>
      </c>
    </row>
    <row r="23" spans="1:22" x14ac:dyDescent="0.2">
      <c r="A23" s="315" t="s">
        <v>50</v>
      </c>
      <c r="B23" s="315"/>
      <c r="C23" s="315"/>
      <c r="D23" s="316"/>
      <c r="E23" s="316"/>
      <c r="F23" s="315"/>
      <c r="G23" s="315"/>
      <c r="H23" s="315"/>
      <c r="I23" s="315"/>
      <c r="J23" s="315"/>
      <c r="K23" s="318"/>
      <c r="L23" s="317"/>
      <c r="M23" s="317"/>
      <c r="N23" s="317">
        <f>SUM(N21:N22)</f>
        <v>825</v>
      </c>
      <c r="O23" s="317">
        <f>SUM(O21:O22)</f>
        <v>825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825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f>'Rider Rates'!B25</f>
        <v>7.2950000000000001E-2</v>
      </c>
      <c r="H34" s="330"/>
      <c r="I34" s="330"/>
      <c r="J34" s="335">
        <f>SUM(G34:H34)</f>
        <v>7.2950000000000001E-2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f>'Rider Rates'!B43</f>
        <v>1.9659699999999999E-2</v>
      </c>
      <c r="H35" s="330"/>
      <c r="I35" s="330"/>
      <c r="J35" s="335">
        <f>SUM(G35:H35)</f>
        <v>1.9659699999999999E-2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f>'Rider Rates'!C43</f>
        <v>8.1499999999999993E-3</v>
      </c>
      <c r="H36" s="330"/>
      <c r="I36" s="330"/>
      <c r="J36" s="335">
        <f>SUM(G36:H36)</f>
        <v>8.1499999999999993E-3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825</v>
      </c>
      <c r="E42" s="309" t="s">
        <v>122</v>
      </c>
      <c r="F42" s="310" t="s">
        <v>8</v>
      </c>
      <c r="G42" s="337"/>
      <c r="H42" s="301"/>
      <c r="I42" s="338">
        <f>'Rider Rates'!$B$85</f>
        <v>3.5344300000000002E-2</v>
      </c>
      <c r="J42" s="338">
        <f t="shared" si="0"/>
        <v>3.5344300000000002E-2</v>
      </c>
      <c r="K42" s="312"/>
      <c r="L42" s="225"/>
      <c r="M42" s="225"/>
      <c r="N42" s="225">
        <f>ROUND(D42*I42,2)</f>
        <v>29.16</v>
      </c>
      <c r="O42" s="225">
        <f t="shared" si="2"/>
        <v>29.16</v>
      </c>
      <c r="P42" s="306">
        <f>'Rider Rates'!$D$85</f>
        <v>45929</v>
      </c>
      <c r="Q42" s="310"/>
      <c r="R42" s="327"/>
      <c r="S42" s="312"/>
      <c r="T42" s="322"/>
      <c r="V42" s="323"/>
    </row>
    <row r="43" spans="1:22" x14ac:dyDescent="0.2">
      <c r="A43" s="328" t="s">
        <v>82</v>
      </c>
      <c r="D43" s="333">
        <f>$N$23</f>
        <v>825</v>
      </c>
      <c r="E43" s="309" t="s">
        <v>122</v>
      </c>
      <c r="F43" s="310" t="s">
        <v>8</v>
      </c>
      <c r="G43" s="339"/>
      <c r="H43" s="301"/>
      <c r="I43" s="338">
        <f>'Rider Rates'!$B$87</f>
        <v>7.8822199999999995E-2</v>
      </c>
      <c r="J43" s="338">
        <f t="shared" si="0"/>
        <v>7.8822199999999995E-2</v>
      </c>
      <c r="K43" s="312"/>
      <c r="L43" s="225"/>
      <c r="M43" s="225"/>
      <c r="N43" s="225">
        <f>ROUND(D43*I43,2)</f>
        <v>65.03</v>
      </c>
      <c r="O43" s="225">
        <f t="shared" si="2"/>
        <v>65.03</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825</v>
      </c>
      <c r="E46" s="309" t="s">
        <v>122</v>
      </c>
      <c r="F46" s="310" t="s">
        <v>8</v>
      </c>
      <c r="G46" s="339"/>
      <c r="H46" s="301"/>
      <c r="I46" s="338">
        <f>'Rider Rates'!$B$105</f>
        <v>0.24079249999999999</v>
      </c>
      <c r="J46" s="338">
        <f t="shared" si="0"/>
        <v>0.24079249999999999</v>
      </c>
      <c r="K46" s="312"/>
      <c r="L46" s="225"/>
      <c r="M46" s="225"/>
      <c r="N46" s="225">
        <f>ROUND(D46*I46,2)</f>
        <v>198.65</v>
      </c>
      <c r="O46" s="225">
        <f t="shared" si="2"/>
        <v>198.65</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Rates'!B114</f>
        <v>3.6865999999999999E-3</v>
      </c>
      <c r="H48" s="330"/>
      <c r="I48" s="338"/>
      <c r="J48" s="335">
        <f>SUM(G48:H48)</f>
        <v>3.6865999999999999E-3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315.67</v>
      </c>
      <c r="O55" s="351">
        <f t="shared" si="4"/>
        <v>315.67</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1140.67</v>
      </c>
      <c r="O57" s="356">
        <f>O23+O55</f>
        <v>1140.67</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1140.67</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1140.67</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257</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254</v>
      </c>
      <c r="C6" s="69"/>
      <c r="D6" s="69"/>
      <c r="E6" s="69"/>
      <c r="F6" s="69"/>
      <c r="G6" s="69"/>
      <c r="H6" s="69"/>
      <c r="I6" s="69"/>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SEC'!C20,1),ROUND('Customer Info'!$B$19*'GS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SEC'!C20,'Customer Info'!$B$19*'GS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1"/>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1"/>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0.24079249999999999</v>
      </c>
      <c r="J53" s="106">
        <f>SUM(H53:I53)</f>
        <v>0.24079249999999999</v>
      </c>
      <c r="K53" s="94"/>
      <c r="L53" s="95"/>
      <c r="M53" s="95"/>
      <c r="N53" s="95">
        <f>ROUND(N$30*I53,2)</f>
        <v>2.2599999999999998</v>
      </c>
      <c r="O53" s="95">
        <f t="shared" si="1"/>
        <v>2.2599999999999998</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2"/>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26.16</v>
      </c>
      <c r="O62" s="147">
        <f t="shared" si="3"/>
        <v>26.16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35.56</v>
      </c>
      <c r="O64" s="88">
        <f>O30+O62</f>
        <v>35.56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262</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261</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PRI'!C20,'Customer Info'!$B$19*'GS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1"/>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1"/>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0.24079249999999999</v>
      </c>
      <c r="J53" s="106">
        <f>SUM(H53:I53)</f>
        <v>0.24079249999999999</v>
      </c>
      <c r="K53" s="94"/>
      <c r="L53" s="95"/>
      <c r="M53" s="95"/>
      <c r="N53" s="95">
        <f>ROUND(N$30*I53,2)</f>
        <v>33.35</v>
      </c>
      <c r="O53" s="95">
        <f t="shared" si="1"/>
        <v>33.35</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2"/>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71.999999999999986</v>
      </c>
      <c r="O62" s="147">
        <f t="shared" si="3"/>
        <v>71.999999999999986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210.5</v>
      </c>
      <c r="O64" s="88">
        <f>O30+O62</f>
        <v>210.5</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210.5</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210.5</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workbookViewId="0"/>
  </sheetViews>
  <sheetFormatPr defaultColWidth="9.140625" defaultRowHeight="9.9499999999999993" customHeight="1" x14ac:dyDescent="0.2"/>
  <cols>
    <col min="1" max="1" width="130.5703125" style="256" customWidth="1"/>
    <col min="2" max="16384" width="9.140625" style="255"/>
  </cols>
  <sheetData>
    <row r="1" spans="1:1" ht="36" x14ac:dyDescent="0.2">
      <c r="A1" s="259" t="s">
        <v>314</v>
      </c>
    </row>
    <row r="2" spans="1:1" ht="24" x14ac:dyDescent="0.2">
      <c r="A2" s="260" t="s">
        <v>313</v>
      </c>
    </row>
    <row r="3" spans="1:1" ht="9.9499999999999993" customHeight="1" x14ac:dyDescent="0.2">
      <c r="A3" s="261"/>
    </row>
    <row r="4" spans="1:1" ht="24" customHeight="1" x14ac:dyDescent="0.2">
      <c r="A4" s="260" t="s">
        <v>312</v>
      </c>
    </row>
    <row r="5" spans="1:1" ht="9.9499999999999993" customHeight="1" x14ac:dyDescent="0.2">
      <c r="A5" s="261"/>
    </row>
    <row r="6" spans="1:1" ht="12" x14ac:dyDescent="0.2">
      <c r="A6" s="259" t="s">
        <v>311</v>
      </c>
    </row>
    <row r="7" spans="1:1" ht="9.9499999999999993" customHeight="1" x14ac:dyDescent="0.2">
      <c r="A7" s="259"/>
    </row>
    <row r="8" spans="1:1" ht="36" x14ac:dyDescent="0.2">
      <c r="A8" s="259" t="s">
        <v>310</v>
      </c>
    </row>
    <row r="9" spans="1:1" ht="9.9499999999999993" customHeight="1" x14ac:dyDescent="0.2">
      <c r="A9" s="260"/>
    </row>
    <row r="10" spans="1:1" ht="36" customHeight="1" x14ac:dyDescent="0.2">
      <c r="A10" s="259" t="s">
        <v>309</v>
      </c>
    </row>
    <row r="11" spans="1:1" ht="9.6" customHeight="1" x14ac:dyDescent="0.2">
      <c r="A11" s="259"/>
    </row>
    <row r="12" spans="1:1" ht="36" customHeight="1" x14ac:dyDescent="0.2">
      <c r="A12" s="259" t="s">
        <v>339</v>
      </c>
    </row>
    <row r="13" spans="1:1" ht="9.9499999999999993" customHeight="1" x14ac:dyDescent="0.2">
      <c r="A13" s="259"/>
    </row>
    <row r="14" spans="1:1" ht="38.25" customHeight="1" x14ac:dyDescent="0.2">
      <c r="A14" s="259" t="s">
        <v>308</v>
      </c>
    </row>
    <row r="15" spans="1:1" ht="9.9499999999999993" customHeight="1" x14ac:dyDescent="0.2">
      <c r="A15" s="259"/>
    </row>
    <row r="16" spans="1:1" ht="24" x14ac:dyDescent="0.2">
      <c r="A16" s="259" t="s">
        <v>307</v>
      </c>
    </row>
    <row r="17" spans="1:1" ht="9.9499999999999993" customHeight="1" x14ac:dyDescent="0.2">
      <c r="A17" s="259"/>
    </row>
    <row r="18" spans="1:1" ht="24" x14ac:dyDescent="0.2">
      <c r="A18" s="259" t="s">
        <v>306</v>
      </c>
    </row>
    <row r="19" spans="1:1" ht="9.9499999999999993" customHeight="1" x14ac:dyDescent="0.2">
      <c r="A19" s="259"/>
    </row>
    <row r="20" spans="1:1" ht="39.75" customHeight="1" x14ac:dyDescent="0.2">
      <c r="A20" s="259" t="s">
        <v>305</v>
      </c>
    </row>
    <row r="21" spans="1:1" ht="9.9499999999999993" customHeight="1" x14ac:dyDescent="0.2">
      <c r="A21" s="259"/>
    </row>
    <row r="22" spans="1:1" ht="24" x14ac:dyDescent="0.2">
      <c r="A22" s="259" t="s">
        <v>304</v>
      </c>
    </row>
    <row r="23" spans="1:1" ht="9.9499999999999993" customHeight="1" x14ac:dyDescent="0.2">
      <c r="A23" s="259"/>
    </row>
    <row r="24" spans="1:1" ht="36" x14ac:dyDescent="0.2">
      <c r="A24" s="259" t="s">
        <v>303</v>
      </c>
    </row>
    <row r="25" spans="1:1" ht="9.9499999999999993" customHeight="1" x14ac:dyDescent="0.2">
      <c r="A25" s="259"/>
    </row>
    <row r="26" spans="1:1" ht="24" x14ac:dyDescent="0.2">
      <c r="A26" s="259" t="s">
        <v>302</v>
      </c>
    </row>
    <row r="27" spans="1:1" ht="9.9499999999999993" customHeight="1" x14ac:dyDescent="0.2">
      <c r="A27" s="259"/>
    </row>
    <row r="28" spans="1:1" ht="24" x14ac:dyDescent="0.2">
      <c r="A28" s="257" t="s">
        <v>301</v>
      </c>
    </row>
    <row r="29" spans="1:1" ht="12" x14ac:dyDescent="0.2">
      <c r="A29" s="259"/>
    </row>
    <row r="30" spans="1:1" ht="45" customHeight="1" x14ac:dyDescent="0.2">
      <c r="A30" s="259" t="s">
        <v>300</v>
      </c>
    </row>
    <row r="32" spans="1:1" ht="36" customHeight="1" x14ac:dyDescent="0.2">
      <c r="A32" s="259" t="s">
        <v>299</v>
      </c>
    </row>
    <row r="33" spans="1:1" ht="9.9499999999999993" customHeight="1" x14ac:dyDescent="0.2">
      <c r="A33" s="258"/>
    </row>
    <row r="34" spans="1:1" ht="12" x14ac:dyDescent="0.2">
      <c r="A34" s="257"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263</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264</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8" t="s">
        <v>15</v>
      </c>
      <c r="E20" s="438"/>
      <c r="F20" s="438"/>
      <c r="G20" s="438"/>
      <c r="H20" s="438"/>
      <c r="K20" s="27"/>
      <c r="L20" s="27"/>
      <c r="M20" s="27"/>
      <c r="N20" s="27"/>
      <c r="O20" s="45"/>
    </row>
    <row r="21" spans="1:30" x14ac:dyDescent="0.2">
      <c r="A21" s="27" t="s">
        <v>15</v>
      </c>
      <c r="B21" s="27"/>
      <c r="C21" s="74" t="s">
        <v>15</v>
      </c>
      <c r="D21" s="438" t="s">
        <v>15</v>
      </c>
      <c r="E21" s="438"/>
      <c r="F21" s="438"/>
      <c r="G21" s="438"/>
      <c r="H21" s="438"/>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0" t="s">
        <v>68</v>
      </c>
      <c r="H23" s="421"/>
      <c r="I23" s="421"/>
      <c r="J23" s="422"/>
      <c r="K23" s="20"/>
      <c r="L23" s="423" t="s">
        <v>69</v>
      </c>
      <c r="M23" s="423"/>
      <c r="N23" s="423"/>
      <c r="O23" s="423"/>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4"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ROUND(MAX(D14,('Customer Info'!B14-100)*0.6,('Customer Info'!B16-100)*0.6),1)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ref="O45:O52" si="1">SUM(L45:N45)</f>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1"/>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1"/>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0.24079249999999999</v>
      </c>
      <c r="J52" s="106">
        <f>SUM(H52:I52)</f>
        <v>0.24079249999999999</v>
      </c>
      <c r="K52" s="94"/>
      <c r="L52" s="95"/>
      <c r="M52" s="95"/>
      <c r="N52" s="95">
        <f>ROUND(N$29*I52,2)</f>
        <v>198.65</v>
      </c>
      <c r="O52" s="95">
        <f t="shared" si="1"/>
        <v>198.65</v>
      </c>
      <c r="P52" s="220">
        <f>'Rider Rates'!$D$105</f>
        <v>45987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2">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2"/>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2"/>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2"/>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2"/>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3">SUM(M33:M60)</f>
        <v>0</v>
      </c>
      <c r="N61" s="147">
        <f t="shared" si="3"/>
        <v>315.67</v>
      </c>
      <c r="O61" s="147">
        <f t="shared" si="3"/>
        <v>315.67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1140.67</v>
      </c>
      <c r="O63" s="88">
        <f>O29+O61</f>
        <v>1140.67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1140.67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1140.67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257</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254</v>
      </c>
      <c r="C6" s="69"/>
      <c r="D6" s="69"/>
      <c r="E6" s="69"/>
      <c r="F6" s="69"/>
      <c r="G6" s="69"/>
      <c r="H6" s="69"/>
      <c r="I6" s="69"/>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SEC'!C20,1),ROUND('Customer Info'!$B$19*'GS DCT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SEC'!C20,'Customer Info'!$B$19*'GS DCT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0"/>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0"/>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0.24079249999999999</v>
      </c>
      <c r="J53" s="106">
        <f>SUM(H53:I53)</f>
        <v>0.24079249999999999</v>
      </c>
      <c r="K53" s="94"/>
      <c r="L53" s="95"/>
      <c r="M53" s="95"/>
      <c r="N53" s="95">
        <f>ROUND(N$30*I53,2)</f>
        <v>2.2599999999999998</v>
      </c>
      <c r="O53" s="95">
        <f t="shared" si="0"/>
        <v>2.2599999999999998</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1"/>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26.16</v>
      </c>
      <c r="O62" s="147">
        <f t="shared" si="2"/>
        <v>26.16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35.56</v>
      </c>
      <c r="O64" s="88">
        <f>O30+O62</f>
        <v>35.56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262</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261</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PRI'!C20,'Customer Info'!$B$19*'GS DCT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0"/>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0"/>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0.24079249999999999</v>
      </c>
      <c r="J53" s="106">
        <f>SUM(H53:I53)</f>
        <v>0.24079249999999999</v>
      </c>
      <c r="K53" s="94"/>
      <c r="L53" s="95"/>
      <c r="M53" s="95"/>
      <c r="N53" s="95">
        <f>ROUND(N$30*I53,2)</f>
        <v>33.35</v>
      </c>
      <c r="O53" s="95">
        <f t="shared" si="0"/>
        <v>33.35</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1"/>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71.999999999999986</v>
      </c>
      <c r="O62" s="147">
        <f t="shared" si="2"/>
        <v>71.999999999999986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210.5</v>
      </c>
      <c r="O64" s="88">
        <f>O30+O62</f>
        <v>210.5</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210.5</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210.5</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263</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187" t="s">
        <v>264</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8" t="s">
        <v>15</v>
      </c>
      <c r="E20" s="438"/>
      <c r="F20" s="438"/>
      <c r="G20" s="438"/>
      <c r="H20" s="438"/>
      <c r="K20" s="27"/>
      <c r="L20" s="27"/>
      <c r="M20" s="27"/>
      <c r="N20" s="27"/>
      <c r="O20" s="45"/>
    </row>
    <row r="21" spans="1:30" x14ac:dyDescent="0.2">
      <c r="A21" s="27" t="s">
        <v>15</v>
      </c>
      <c r="B21" s="27"/>
      <c r="C21" s="74" t="s">
        <v>15</v>
      </c>
      <c r="D21" s="438" t="s">
        <v>15</v>
      </c>
      <c r="E21" s="438"/>
      <c r="F21" s="438"/>
      <c r="G21" s="438"/>
      <c r="H21" s="438"/>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0" t="s">
        <v>68</v>
      </c>
      <c r="H23" s="421"/>
      <c r="I23" s="421"/>
      <c r="J23" s="422"/>
      <c r="K23" s="20"/>
      <c r="L23" s="423" t="s">
        <v>69</v>
      </c>
      <c r="M23" s="423"/>
      <c r="N23" s="423"/>
      <c r="O23" s="423"/>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Info'!B13&lt;25001,0,IF('Customer Info'!B13&lt;75001,15000+(('Customer Info'!B13-25000)*0.85),IF('Customer Info'!B13&lt;75000,0,IF(((57500+('Customer Info'!B13-75000))/'Customer Info'!B13)&gt;85%,'Customer Info'!B13*85%,57500+('Customer Info'!B13-75000))))),('Customer Info'!B15)*0.85),1)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52"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ROUND(MAX(D14,IF('Customer Info'!B13&lt;25001,0,IF('Customer Info'!B13&lt;75001,15000+(('Customer Info'!B13-25000)*0.85),IF('Customer Info'!B13&lt;75000,0,IF(((57500+('Customer Info'!B13-75000))/'Customer Info'!B13)&gt;85%,'Customer Info'!B13*85%,575000+('Customer Info'!B13-75000))))),('Customer Info'!B15)*0.85),1)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si="0"/>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0"/>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0"/>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0.24079249999999999</v>
      </c>
      <c r="J52" s="106">
        <f>SUM(H52:I52)</f>
        <v>0.24079249999999999</v>
      </c>
      <c r="K52" s="94"/>
      <c r="L52" s="95"/>
      <c r="M52" s="95"/>
      <c r="N52" s="95">
        <f>ROUND(N$29*I52,2)</f>
        <v>198.65</v>
      </c>
      <c r="O52" s="95">
        <f t="shared" si="0"/>
        <v>198.65</v>
      </c>
      <c r="P52" s="220">
        <f>'Rider Rates'!$D$105</f>
        <v>45987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1">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1"/>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1"/>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1"/>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1"/>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2">SUM(M33:M60)</f>
        <v>0</v>
      </c>
      <c r="N61" s="147">
        <f t="shared" si="2"/>
        <v>315.67</v>
      </c>
      <c r="O61" s="147">
        <f t="shared" si="2"/>
        <v>315.67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1140.67</v>
      </c>
      <c r="O63" s="88">
        <f>O29+O61</f>
        <v>1140.67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1140.67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1140.67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sheetData>
  <sheetProtection algorithmName="SHA-512" hashValue="x0YViElTkQBnWg3md4kx+Dy9sXTBKn5slI09AkYb2kfpwbckP3mxRD9AN7DyA7y6ppfpGAK+kyhUIJAvhkSEsQ==" saltValue="eo38/1kNzNzBBErQHynQD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0" t="s">
        <v>120</v>
      </c>
      <c r="B1" s="410"/>
      <c r="C1" s="410"/>
      <c r="D1" s="410"/>
      <c r="E1" s="410"/>
      <c r="F1" s="410"/>
      <c r="G1" s="410"/>
      <c r="H1" s="410"/>
      <c r="I1" s="410"/>
      <c r="J1" s="410"/>
      <c r="K1" s="410"/>
      <c r="L1" s="410"/>
      <c r="M1" s="410"/>
      <c r="N1" s="410"/>
      <c r="O1" s="410"/>
      <c r="P1" s="410"/>
      <c r="Q1" s="174"/>
    </row>
    <row r="2" spans="1:59" ht="18" customHeight="1" x14ac:dyDescent="0.2">
      <c r="A2" s="419" t="s">
        <v>266</v>
      </c>
      <c r="B2" s="419"/>
      <c r="C2" s="419"/>
      <c r="D2" s="419"/>
      <c r="E2" s="419"/>
      <c r="F2" s="419"/>
      <c r="G2" s="419"/>
      <c r="H2" s="419"/>
      <c r="I2" s="419"/>
      <c r="J2" s="419"/>
      <c r="K2" s="419"/>
      <c r="L2" s="419"/>
      <c r="M2" s="419"/>
      <c r="N2" s="419"/>
      <c r="O2" s="419"/>
      <c r="P2" s="419"/>
    </row>
    <row r="3" spans="1:59" ht="18" x14ac:dyDescent="0.25">
      <c r="A3" s="419"/>
      <c r="B3" s="419"/>
      <c r="C3" s="419"/>
      <c r="D3" s="419"/>
      <c r="E3" s="419"/>
      <c r="F3" s="419"/>
      <c r="G3" s="419"/>
      <c r="H3" s="419"/>
      <c r="I3" s="419"/>
      <c r="J3" s="419"/>
      <c r="K3" s="419"/>
      <c r="L3" s="419"/>
      <c r="M3" s="419"/>
      <c r="N3" s="419"/>
      <c r="O3" s="419"/>
      <c r="P3" s="419"/>
      <c r="Q3" s="175"/>
    </row>
    <row r="4" spans="1:59"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46051</v>
      </c>
      <c r="B6" s="418" t="s">
        <v>265</v>
      </c>
      <c r="C6" s="418"/>
      <c r="D6" s="418"/>
      <c r="E6" s="418"/>
      <c r="F6" s="418"/>
      <c r="G6" s="418"/>
      <c r="H6" s="418"/>
      <c r="I6" s="418"/>
      <c r="J6" s="418"/>
      <c r="K6" s="418"/>
      <c r="L6" s="418"/>
      <c r="M6" s="418"/>
      <c r="N6" s="418"/>
      <c r="O6" s="418"/>
    </row>
    <row r="7" spans="1:59" x14ac:dyDescent="0.2">
      <c r="A7" s="409" t="s">
        <v>15</v>
      </c>
      <c r="B7" s="409"/>
      <c r="C7" s="409"/>
      <c r="D7" s="409"/>
      <c r="E7" s="409"/>
      <c r="F7" s="409"/>
      <c r="G7" s="409"/>
      <c r="H7" s="409"/>
      <c r="I7" s="409"/>
      <c r="J7" s="409"/>
      <c r="K7" s="409"/>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2</v>
      </c>
      <c r="C11" s="171" t="str">
        <f>LOOKUP($B$11,$S$11:$AD$11,S12:AD12)</f>
        <v>February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5" t="s">
        <v>68</v>
      </c>
      <c r="H23" s="416"/>
      <c r="I23" s="416"/>
      <c r="J23" s="417"/>
      <c r="K23" s="139"/>
      <c r="L23" s="412" t="s">
        <v>69</v>
      </c>
      <c r="M23" s="413"/>
      <c r="N23" s="413"/>
      <c r="O23" s="414"/>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46" si="0">SUM(G31:I31)</f>
        <v>5.5215000000000004E-3</v>
      </c>
      <c r="K31" s="94" t="s">
        <v>42</v>
      </c>
      <c r="L31" s="95"/>
      <c r="M31" s="95"/>
      <c r="N31" s="95">
        <f t="shared" ref="N31:N37" si="1">ROUND(D31*I31,2)</f>
        <v>0</v>
      </c>
      <c r="O31" s="225">
        <f t="shared" ref="O31:O48"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210</v>
      </c>
      <c r="B39" s="70"/>
      <c r="C39" s="70"/>
      <c r="D39" s="90"/>
      <c r="E39" s="91" t="s">
        <v>115</v>
      </c>
      <c r="F39" s="92"/>
      <c r="G39" s="93"/>
      <c r="H39" s="93"/>
      <c r="I39" s="93">
        <f>'Rider Rates'!D48</f>
        <v>0</v>
      </c>
      <c r="J39" s="213">
        <f>SUM(G39:I39)</f>
        <v>0</v>
      </c>
      <c r="K39" s="94"/>
      <c r="L39" s="95"/>
      <c r="M39" s="95"/>
      <c r="N39" s="95">
        <f>J39</f>
        <v>0</v>
      </c>
      <c r="O39" s="95">
        <f>SUM(L39:N39)</f>
        <v>0</v>
      </c>
      <c r="P39" s="220">
        <f>'Rider Rates'!E48</f>
        <v>45883</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189</v>
      </c>
      <c r="B40" s="70"/>
      <c r="C40" s="70"/>
      <c r="D40" s="90">
        <f>IF($D$17&lt;0,0,$D$17)</f>
        <v>0</v>
      </c>
      <c r="E40" s="91" t="s">
        <v>41</v>
      </c>
      <c r="F40" s="92" t="s">
        <v>8</v>
      </c>
      <c r="G40" s="93"/>
      <c r="H40" s="93">
        <f>'Rider Rates'!$B$55</f>
        <v>3.55042E-2</v>
      </c>
      <c r="I40" s="93"/>
      <c r="J40" s="93">
        <f>SUM(G40:I40)</f>
        <v>3.55042E-2</v>
      </c>
      <c r="K40" s="94" t="s">
        <v>42</v>
      </c>
      <c r="L40" s="95"/>
      <c r="M40" s="95">
        <f>ROUND(D40*H40,2)</f>
        <v>0</v>
      </c>
      <c r="N40" s="182"/>
      <c r="O40" s="95">
        <f t="shared" si="2"/>
        <v>0</v>
      </c>
      <c r="P40" s="220">
        <f>'Rider Rates'!$D$55</f>
        <v>45929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337</v>
      </c>
      <c r="B41" s="70"/>
      <c r="C41" s="70"/>
      <c r="D41" s="90">
        <f>IF($D$17&lt;0,0,$D$17)</f>
        <v>0</v>
      </c>
      <c r="E41" s="91" t="s">
        <v>41</v>
      </c>
      <c r="F41" s="92" t="s">
        <v>8</v>
      </c>
      <c r="G41" s="93"/>
      <c r="H41" s="93"/>
      <c r="I41" s="93">
        <f>'Rider Rates'!$B$66</f>
        <v>7.3870000000000001E-4</v>
      </c>
      <c r="J41" s="93">
        <f t="shared" ref="J41" si="3">SUM(G41:I41)</f>
        <v>7.3870000000000001E-4</v>
      </c>
      <c r="K41" s="94" t="s">
        <v>42</v>
      </c>
      <c r="L41" s="95"/>
      <c r="M41" s="95"/>
      <c r="N41" s="95">
        <f>ROUND($D$41*'Rider Rates'!$B$66,2)</f>
        <v>0</v>
      </c>
      <c r="O41" s="225">
        <f t="shared" ref="O41" si="4">SUM(L41:N41)</f>
        <v>0</v>
      </c>
      <c r="P41" s="220">
        <f>'Rider Rates'!$D$66</f>
        <v>45747</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96</v>
      </c>
      <c r="B42" s="70"/>
      <c r="C42" s="70"/>
      <c r="D42" s="90">
        <f>IF('Customer Info'!C34=TRUE,0,IF($D$17&lt;0,0,$D$17))</f>
        <v>0</v>
      </c>
      <c r="E42" s="91" t="s">
        <v>41</v>
      </c>
      <c r="F42" s="92" t="s">
        <v>8</v>
      </c>
      <c r="G42" s="93"/>
      <c r="H42" s="93"/>
      <c r="I42" s="93">
        <f>'Rider Rates'!$B$69+'Rider Rates'!$C$69</f>
        <v>0</v>
      </c>
      <c r="J42" s="93">
        <f t="shared" si="0"/>
        <v>0</v>
      </c>
      <c r="K42" s="94" t="s">
        <v>42</v>
      </c>
      <c r="L42" s="95"/>
      <c r="M42" s="95"/>
      <c r="N42" s="95">
        <f>ROUND($D$42*'Rider Rates'!$B$69,2)+ROUND($D$42*'Rider Rates'!$C$69,2)</f>
        <v>0</v>
      </c>
      <c r="O42" s="225">
        <f t="shared" si="2"/>
        <v>0</v>
      </c>
      <c r="P42" s="220">
        <f>'Rider Rates'!$D$69</f>
        <v>45444</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81</v>
      </c>
      <c r="B43" s="70"/>
      <c r="C43" s="70"/>
      <c r="D43" s="172">
        <f>$N$27</f>
        <v>10</v>
      </c>
      <c r="E43" s="91" t="s">
        <v>122</v>
      </c>
      <c r="F43" s="92" t="s">
        <v>8</v>
      </c>
      <c r="G43" s="99"/>
      <c r="H43" s="5"/>
      <c r="I43" s="106">
        <f>'Rider Rates'!$B$85</f>
        <v>3.5344300000000002E-2</v>
      </c>
      <c r="J43" s="106">
        <f>SUM(G43:I43)</f>
        <v>3.5344300000000002E-2</v>
      </c>
      <c r="K43" s="94"/>
      <c r="L43" s="95"/>
      <c r="M43" s="95"/>
      <c r="N43" s="95">
        <f>ROUND(D43*I43,2)</f>
        <v>0.35</v>
      </c>
      <c r="O43" s="95">
        <f t="shared" si="2"/>
        <v>0.35</v>
      </c>
      <c r="P43" s="220">
        <f>'Rider Rates'!$D$85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82</v>
      </c>
      <c r="B44" s="70"/>
      <c r="C44" s="70"/>
      <c r="D44" s="172">
        <f>$N$27</f>
        <v>10</v>
      </c>
      <c r="E44" s="91" t="s">
        <v>122</v>
      </c>
      <c r="F44" s="92" t="s">
        <v>8</v>
      </c>
      <c r="G44" s="100"/>
      <c r="H44" s="101"/>
      <c r="I44" s="106">
        <f>'Rider Rates'!$B$87</f>
        <v>7.8822199999999995E-2</v>
      </c>
      <c r="J44" s="106">
        <f t="shared" si="0"/>
        <v>7.8822199999999995E-2</v>
      </c>
      <c r="K44" s="94"/>
      <c r="L44" s="95"/>
      <c r="M44" s="95"/>
      <c r="N44" s="95">
        <f>ROUND(D44*I44,2)</f>
        <v>0.79</v>
      </c>
      <c r="O44" s="95">
        <f t="shared" si="2"/>
        <v>0.79</v>
      </c>
      <c r="P44" s="220">
        <f>'Rider Rates'!$D$87</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206</v>
      </c>
      <c r="B45" s="70"/>
      <c r="C45" s="70"/>
      <c r="D45" s="172"/>
      <c r="E45" s="91" t="s">
        <v>115</v>
      </c>
      <c r="F45" s="92"/>
      <c r="G45" s="100"/>
      <c r="H45" s="101"/>
      <c r="I45" s="173">
        <f>'Rider Rates'!$B$90</f>
        <v>2.62</v>
      </c>
      <c r="J45" s="173">
        <f>SUM(G45:I45)</f>
        <v>2.62</v>
      </c>
      <c r="K45" s="94"/>
      <c r="L45" s="95"/>
      <c r="M45" s="95"/>
      <c r="N45" s="95">
        <f>I45</f>
        <v>2.62</v>
      </c>
      <c r="O45" s="225">
        <f>SUM(L45:N45)</f>
        <v>2.62</v>
      </c>
      <c r="P45" s="220">
        <f>'Rider Rates'!$D$90</f>
        <v>46022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$N$27</f>
        <v>10</v>
      </c>
      <c r="E46" s="91" t="s">
        <v>122</v>
      </c>
      <c r="F46" s="92" t="s">
        <v>8</v>
      </c>
      <c r="G46" s="100"/>
      <c r="H46" s="101"/>
      <c r="I46" s="106">
        <f>'Rider Rates'!$B$105</f>
        <v>0.24079249999999999</v>
      </c>
      <c r="J46" s="214">
        <f t="shared" si="0"/>
        <v>0.24079249999999999</v>
      </c>
      <c r="K46" s="94"/>
      <c r="L46" s="95"/>
      <c r="M46" s="95"/>
      <c r="N46" s="95">
        <f>ROUND(D46*I46,2)</f>
        <v>2.41</v>
      </c>
      <c r="O46" s="95">
        <f t="shared" si="2"/>
        <v>2.41</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Rates'!B121</f>
        <v>0.2</v>
      </c>
      <c r="J47" s="234">
        <f t="shared" ref="J47:J51" si="5">SUM(G47:I47)</f>
        <v>0.2</v>
      </c>
      <c r="K47" s="94"/>
      <c r="L47" s="95"/>
      <c r="M47" s="95"/>
      <c r="N47" s="235">
        <f>I47</f>
        <v>0.2</v>
      </c>
      <c r="O47" s="95">
        <f>SUM(L47:N47)</f>
        <v>0.2</v>
      </c>
      <c r="P47" s="220">
        <f>'Rider Rates'!D121</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IF($D$17&lt;1,0,$D$17)</f>
        <v>0</v>
      </c>
      <c r="E48" s="91" t="s">
        <v>41</v>
      </c>
      <c r="F48" s="224" t="s">
        <v>8</v>
      </c>
      <c r="G48" s="93"/>
      <c r="H48" s="93"/>
      <c r="I48" s="93">
        <f>'Rider Rates'!$B$117</f>
        <v>0</v>
      </c>
      <c r="J48" s="213">
        <f t="shared" si="5"/>
        <v>0</v>
      </c>
      <c r="K48" s="94" t="s">
        <v>42</v>
      </c>
      <c r="L48" s="95"/>
      <c r="M48" s="95"/>
      <c r="N48" s="95">
        <f>D48*J48</f>
        <v>0</v>
      </c>
      <c r="O48" s="95">
        <f t="shared" si="2"/>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230</v>
      </c>
      <c r="B49" s="70"/>
      <c r="C49" s="70"/>
      <c r="D49" s="90"/>
      <c r="E49" s="91" t="s">
        <v>115</v>
      </c>
      <c r="F49" s="92" t="s">
        <v>8</v>
      </c>
      <c r="G49" s="238"/>
      <c r="H49" s="238"/>
      <c r="I49" s="238">
        <f>'Rider Rates'!$B$125</f>
        <v>0</v>
      </c>
      <c r="J49" s="238">
        <f t="shared" si="5"/>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242</v>
      </c>
      <c r="B50" s="70"/>
      <c r="C50" s="70"/>
      <c r="D50" s="90">
        <f>D17</f>
        <v>0</v>
      </c>
      <c r="E50" s="91" t="s">
        <v>41</v>
      </c>
      <c r="F50" s="224" t="s">
        <v>8</v>
      </c>
      <c r="G50" s="93"/>
      <c r="H50" s="93"/>
      <c r="I50" s="93">
        <f>'Rider Rates'!B130</f>
        <v>0</v>
      </c>
      <c r="J50" s="213">
        <f t="shared" si="5"/>
        <v>0</v>
      </c>
      <c r="K50" s="94" t="s">
        <v>42</v>
      </c>
      <c r="L50" s="95"/>
      <c r="M50" s="95"/>
      <c r="N50" s="95">
        <f>D50*J50</f>
        <v>0</v>
      </c>
      <c r="O50" s="95">
        <f t="shared" ref="O50" si="6">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241</v>
      </c>
      <c r="B51" s="70"/>
      <c r="C51" s="70"/>
      <c r="D51" s="90"/>
      <c r="E51" s="91" t="s">
        <v>115</v>
      </c>
      <c r="F51" s="92" t="s">
        <v>8</v>
      </c>
      <c r="G51" s="238"/>
      <c r="H51" s="238"/>
      <c r="I51" s="238">
        <f>'Rider Rates'!$B$137</f>
        <v>0</v>
      </c>
      <c r="J51" s="238">
        <f t="shared" si="5"/>
        <v>0</v>
      </c>
      <c r="K51" s="94"/>
      <c r="L51" s="186"/>
      <c r="M51" s="186"/>
      <c r="N51" s="186">
        <f>J51</f>
        <v>0</v>
      </c>
      <c r="O51" s="186">
        <f>SUM(L51:N51)</f>
        <v>0</v>
      </c>
      <c r="P51" s="239">
        <f>'Rider Rates'!D137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56" t="s">
        <v>71</v>
      </c>
      <c r="B53" s="130"/>
      <c r="C53" s="130"/>
      <c r="D53" s="157"/>
      <c r="E53" s="158"/>
      <c r="F53" s="159"/>
      <c r="G53" s="159"/>
      <c r="H53" s="159"/>
      <c r="I53" s="159"/>
      <c r="J53" s="159"/>
      <c r="K53" s="160"/>
      <c r="L53" s="147">
        <f>SUM(L31:L52)</f>
        <v>0</v>
      </c>
      <c r="M53" s="147">
        <f t="shared" ref="M53:O53" si="7">SUM(M31:M52)</f>
        <v>0</v>
      </c>
      <c r="N53" s="147">
        <f t="shared" si="7"/>
        <v>6.37</v>
      </c>
      <c r="O53" s="147">
        <f t="shared" si="7"/>
        <v>6.37</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90"/>
      <c r="E54" s="91"/>
      <c r="F54" s="92"/>
      <c r="G54" s="92"/>
      <c r="H54" s="92"/>
      <c r="I54" s="92"/>
      <c r="J54" s="96"/>
      <c r="K54" s="94"/>
      <c r="L54" s="92"/>
      <c r="M54" s="92"/>
      <c r="N54" s="92"/>
      <c r="O54" s="92"/>
      <c r="P54" s="142"/>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62" t="s">
        <v>94</v>
      </c>
      <c r="B55" s="148"/>
      <c r="C55" s="148"/>
      <c r="D55" s="148"/>
      <c r="E55" s="148"/>
      <c r="F55" s="148"/>
      <c r="G55" s="148"/>
      <c r="H55" s="148"/>
      <c r="I55" s="148"/>
      <c r="J55" s="148"/>
      <c r="K55" s="148"/>
      <c r="L55" s="163">
        <f>L27+L53</f>
        <v>0</v>
      </c>
      <c r="M55" s="163">
        <f>M27+M53</f>
        <v>0</v>
      </c>
      <c r="N55" s="163">
        <f>N27+N53</f>
        <v>16.37</v>
      </c>
      <c r="O55" s="164">
        <f>O27+O53</f>
        <v>16.37</v>
      </c>
      <c r="P55" s="164"/>
      <c r="Q55" s="92"/>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44" t="s">
        <v>93</v>
      </c>
      <c r="B58" s="70"/>
      <c r="C58" s="70"/>
      <c r="D58" s="70"/>
      <c r="E58" s="70"/>
      <c r="F58" s="70"/>
      <c r="G58" s="70"/>
      <c r="H58" s="70"/>
      <c r="I58" s="70"/>
      <c r="J58" s="70"/>
      <c r="K58" s="70"/>
      <c r="L58" s="70"/>
      <c r="M58" s="70"/>
      <c r="N58" s="70"/>
      <c r="O58" s="97">
        <f>IF(D17&lt;0,MIN(O25,O55),O25)</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15</v>
      </c>
      <c r="B59" s="144"/>
      <c r="C59" s="144"/>
      <c r="D59" s="144"/>
      <c r="E59" s="144"/>
      <c r="F59" s="144"/>
      <c r="G59" s="144"/>
      <c r="H59" s="144"/>
      <c r="I59" s="70"/>
      <c r="J59" s="70"/>
      <c r="K59" s="70"/>
      <c r="L59" s="70"/>
      <c r="M59" s="70"/>
      <c r="N59" s="70"/>
      <c r="O59" s="70"/>
      <c r="P59" s="70"/>
      <c r="Q59" s="70"/>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30" t="s">
        <v>117</v>
      </c>
      <c r="B60" s="70"/>
      <c r="C60" s="70"/>
      <c r="D60" s="70"/>
      <c r="E60" s="70"/>
      <c r="F60" s="70"/>
      <c r="G60" s="70"/>
      <c r="H60" s="70"/>
      <c r="I60" s="70"/>
      <c r="J60" s="70"/>
      <c r="K60" s="70"/>
      <c r="L60" s="70"/>
      <c r="M60" s="70"/>
      <c r="N60" s="70"/>
      <c r="O60" s="167">
        <f>IF($D$17&lt;0,O55,IF(O55&gt;O58,O55,O58))</f>
        <v>16.37</v>
      </c>
      <c r="P60" s="92"/>
      <c r="Q60" s="70"/>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c r="B61" s="70"/>
      <c r="C61" s="70"/>
      <c r="D61" s="70"/>
      <c r="E61" s="70"/>
      <c r="F61" s="70"/>
      <c r="G61" s="70"/>
      <c r="H61" s="70"/>
      <c r="I61" s="70"/>
      <c r="J61" s="70"/>
      <c r="K61" s="70"/>
      <c r="L61" s="70"/>
      <c r="M61" s="70"/>
      <c r="N61" s="70"/>
      <c r="O61" s="121"/>
      <c r="P61" s="92"/>
      <c r="Q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c r="B62" s="144"/>
      <c r="C62" s="144"/>
      <c r="D62" s="144"/>
      <c r="E62" s="144"/>
      <c r="F62" s="144"/>
      <c r="G62" s="144"/>
      <c r="H62" s="144"/>
      <c r="I62" s="144" t="s">
        <v>121</v>
      </c>
      <c r="J62" s="144"/>
      <c r="K62" s="144"/>
      <c r="L62" s="168"/>
      <c r="M62" s="168"/>
      <c r="N62" s="168"/>
      <c r="O62" s="168">
        <f>ROUND(IF($D$17&lt;1,0,O55/($D$17*100)*10000),2)</f>
        <v>0</v>
      </c>
      <c r="P62" s="33" t="s">
        <v>87</v>
      </c>
      <c r="Q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33"/>
      <c r="B63" s="70"/>
      <c r="C63" s="70"/>
      <c r="D63" s="70"/>
      <c r="E63" s="70"/>
      <c r="F63" s="70"/>
      <c r="G63" s="70"/>
      <c r="H63" s="169"/>
      <c r="I63" s="217" t="s">
        <v>190</v>
      </c>
      <c r="J63" s="70"/>
      <c r="K63" s="70"/>
      <c r="L63" s="70"/>
      <c r="M63" s="70"/>
      <c r="N63" s="70"/>
      <c r="O63" s="218">
        <f>ROUND(IF($D$17&lt;1,0,(L55)/($D$17*100)*10000),2)</f>
        <v>0</v>
      </c>
      <c r="P63" s="23" t="s">
        <v>87</v>
      </c>
      <c r="Q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A64" s="89"/>
      <c r="B64" s="70"/>
      <c r="C64" s="70"/>
      <c r="D64" s="90"/>
      <c r="E64" s="91"/>
      <c r="F64" s="92"/>
      <c r="G64" s="116"/>
      <c r="H64" s="43"/>
      <c r="I64" s="116"/>
      <c r="J64" s="23"/>
      <c r="K64" s="23"/>
      <c r="L64" s="117"/>
      <c r="M64" s="117"/>
      <c r="N64" s="117"/>
      <c r="O64" s="118"/>
      <c r="Q64" s="72"/>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21" x14ac:dyDescent="0.2">
      <c r="A65" s="89"/>
      <c r="B65" s="70"/>
      <c r="C65" s="70"/>
      <c r="D65" s="90"/>
      <c r="E65" s="91"/>
      <c r="F65" s="92"/>
      <c r="Q65" s="72"/>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21" x14ac:dyDescent="0.2">
      <c r="A66" s="70"/>
      <c r="D66" s="1"/>
      <c r="E66" s="31"/>
      <c r="F66" s="92"/>
      <c r="Q66" s="72"/>
    </row>
    <row r="67" spans="1:221" x14ac:dyDescent="0.2">
      <c r="A67" s="87"/>
      <c r="D67" s="1"/>
      <c r="E67" s="31"/>
      <c r="F67" s="4"/>
      <c r="Q67" s="32"/>
    </row>
    <row r="68" spans="1:221" x14ac:dyDescent="0.2">
      <c r="A68" s="87"/>
      <c r="D68" s="1"/>
      <c r="E68" s="31"/>
      <c r="F68" s="4"/>
      <c r="Q68" s="32"/>
    </row>
    <row r="69" spans="1:221" x14ac:dyDescent="0.2">
      <c r="A69" s="37"/>
      <c r="B69" s="33"/>
      <c r="C69" s="33"/>
      <c r="D69" s="33"/>
      <c r="E69" s="33"/>
      <c r="F69" s="33"/>
    </row>
    <row r="70" spans="1:221" x14ac:dyDescent="0.2">
      <c r="B70" s="33"/>
      <c r="C70" s="33"/>
      <c r="D70" s="33"/>
      <c r="E70" s="33"/>
      <c r="F70" s="33"/>
      <c r="P70" s="33"/>
      <c r="Q70" s="33"/>
    </row>
    <row r="71" spans="1:221" x14ac:dyDescent="0.2">
      <c r="B71" s="33"/>
      <c r="C71" s="33"/>
      <c r="D71" s="33"/>
      <c r="E71" s="33"/>
      <c r="F71" s="33"/>
      <c r="P71" s="23"/>
      <c r="Q71" s="23"/>
    </row>
    <row r="74" spans="1:221" x14ac:dyDescent="0.2">
      <c r="A74" s="408"/>
    </row>
    <row r="75" spans="1:221" x14ac:dyDescent="0.2">
      <c r="A75" s="408"/>
    </row>
    <row r="76" spans="1:221" x14ac:dyDescent="0.2">
      <c r="A76" s="408"/>
    </row>
    <row r="77" spans="1:221" x14ac:dyDescent="0.2">
      <c r="A77" s="408"/>
    </row>
    <row r="78" spans="1:221" x14ac:dyDescent="0.2">
      <c r="A78" s="408"/>
    </row>
    <row r="79" spans="1:221" x14ac:dyDescent="0.2">
      <c r="A79" s="408"/>
    </row>
    <row r="80" spans="1:221"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c r="Q1" s="180"/>
    </row>
    <row r="2" spans="1:30" ht="20.25" x14ac:dyDescent="0.3">
      <c r="A2" s="426" t="s">
        <v>267</v>
      </c>
      <c r="B2" s="426"/>
      <c r="C2" s="426"/>
      <c r="D2" s="426"/>
      <c r="E2" s="426"/>
      <c r="F2" s="426"/>
      <c r="G2" s="426"/>
      <c r="H2" s="426"/>
      <c r="I2" s="426"/>
      <c r="J2" s="426"/>
      <c r="K2" s="426"/>
      <c r="L2" s="426"/>
      <c r="M2" s="426"/>
      <c r="N2" s="426"/>
      <c r="O2" s="426"/>
      <c r="P2" s="426"/>
      <c r="Q2" s="174"/>
    </row>
    <row r="3" spans="1:30" ht="18" x14ac:dyDescent="0.25">
      <c r="A3" s="411" t="s">
        <v>95</v>
      </c>
      <c r="B3" s="411"/>
      <c r="C3" s="411"/>
      <c r="D3" s="411"/>
      <c r="E3" s="411"/>
      <c r="F3" s="411"/>
      <c r="G3" s="411"/>
      <c r="H3" s="411"/>
      <c r="I3" s="411"/>
      <c r="J3" s="411"/>
      <c r="K3" s="411"/>
      <c r="L3" s="411"/>
      <c r="M3" s="411"/>
      <c r="N3" s="411"/>
      <c r="O3" s="411"/>
      <c r="P3" s="411"/>
      <c r="Q3" s="175"/>
    </row>
    <row r="4" spans="1:30" ht="15.75" x14ac:dyDescent="0.25">
      <c r="A4" s="411"/>
      <c r="B4" s="411"/>
      <c r="C4" s="411"/>
      <c r="D4" s="411"/>
      <c r="E4" s="411"/>
      <c r="F4" s="411"/>
      <c r="G4" s="411"/>
      <c r="H4" s="411"/>
      <c r="I4" s="411"/>
      <c r="J4" s="411"/>
      <c r="K4" s="411"/>
      <c r="L4" s="411"/>
      <c r="M4" s="411"/>
      <c r="N4" s="411"/>
      <c r="O4" s="411"/>
      <c r="P4" s="411"/>
      <c r="Q4" s="176"/>
    </row>
    <row r="5" spans="1:30" x14ac:dyDescent="0.2">
      <c r="A5" s="69">
        <f ca="1">TODAY()</f>
        <v>46051</v>
      </c>
      <c r="B5" s="418" t="s">
        <v>293</v>
      </c>
      <c r="C5" s="418"/>
      <c r="D5" s="418"/>
      <c r="E5" s="418"/>
      <c r="F5" s="418"/>
      <c r="G5" s="418"/>
      <c r="H5" s="418"/>
      <c r="I5" s="418"/>
      <c r="J5" s="418"/>
      <c r="K5" s="418"/>
      <c r="L5" s="418"/>
      <c r="M5" s="418"/>
      <c r="N5" s="418"/>
      <c r="O5" s="418"/>
    </row>
    <row r="6" spans="1:30" x14ac:dyDescent="0.2">
      <c r="A6" s="409" t="s">
        <v>15</v>
      </c>
      <c r="B6" s="409"/>
      <c r="C6" s="409"/>
      <c r="D6" s="409"/>
      <c r="E6" s="409"/>
      <c r="F6" s="409"/>
      <c r="G6" s="409"/>
      <c r="H6" s="409"/>
      <c r="I6" s="409"/>
      <c r="J6" s="409"/>
      <c r="K6" s="409"/>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2</v>
      </c>
      <c r="C10" s="171" t="str">
        <f>LOOKUP(B10,S11:AD11,S12:AD12)</f>
        <v>February</v>
      </c>
      <c r="D10" s="116">
        <f>'Customer Info'!C9</f>
        <v>2026</v>
      </c>
    </row>
    <row r="11" spans="1:30" x14ac:dyDescent="0.2">
      <c r="A11" s="424"/>
      <c r="B11" s="424"/>
      <c r="C11" s="424"/>
      <c r="D11" s="424"/>
      <c r="E11" s="424"/>
      <c r="F11" s="424"/>
      <c r="G11" s="424"/>
      <c r="H11" s="424"/>
      <c r="I11" s="424"/>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0" t="s">
        <v>68</v>
      </c>
      <c r="H17" s="421"/>
      <c r="I17" s="421"/>
      <c r="J17" s="422"/>
      <c r="K17" s="20"/>
      <c r="L17" s="423" t="s">
        <v>69</v>
      </c>
      <c r="M17" s="423"/>
      <c r="N17" s="423"/>
      <c r="O17" s="423"/>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f>'Rider Rates'!$D$7</f>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1" si="0">SUM(G25:I25)</f>
        <v>5.5215000000000004E-3</v>
      </c>
      <c r="K25" s="94" t="s">
        <v>42</v>
      </c>
      <c r="L25" s="95"/>
      <c r="M25" s="95"/>
      <c r="N25" s="95">
        <f t="shared" ref="N25:N30" si="1">ROUND(D25*I25,2)</f>
        <v>0</v>
      </c>
      <c r="O25" s="95">
        <f t="shared" ref="O25:O34"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si="2"/>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2"/>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210</v>
      </c>
      <c r="B33" s="70"/>
      <c r="C33" s="70"/>
      <c r="D33" s="90"/>
      <c r="E33" s="91" t="s">
        <v>115</v>
      </c>
      <c r="F33" s="92"/>
      <c r="G33" s="93"/>
      <c r="H33" s="93"/>
      <c r="I33" s="93">
        <f>'Rider Rates'!D48</f>
        <v>0</v>
      </c>
      <c r="J33" s="93">
        <f>SUM(G33:I33)</f>
        <v>0</v>
      </c>
      <c r="K33" s="94" t="s">
        <v>42</v>
      </c>
      <c r="L33" s="95"/>
      <c r="M33" s="95"/>
      <c r="N33" s="95">
        <f>J33</f>
        <v>0</v>
      </c>
      <c r="O33" s="95">
        <f>SUM(L33:N33)</f>
        <v>0</v>
      </c>
      <c r="P33" s="220">
        <f>'Rider Rates'!E48</f>
        <v>45883</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189</v>
      </c>
      <c r="B34" s="70"/>
      <c r="C34" s="70"/>
      <c r="D34" s="90">
        <f>IF($C$14&lt;0,0,$C$14)</f>
        <v>0</v>
      </c>
      <c r="E34" s="91" t="s">
        <v>41</v>
      </c>
      <c r="F34" s="92" t="s">
        <v>8</v>
      </c>
      <c r="G34" s="93"/>
      <c r="H34" s="93">
        <f>'Rider Rates'!$B$55</f>
        <v>3.55042E-2</v>
      </c>
      <c r="I34" s="93"/>
      <c r="J34" s="93">
        <f>SUM(G34:I34)</f>
        <v>3.55042E-2</v>
      </c>
      <c r="K34" s="94" t="s">
        <v>42</v>
      </c>
      <c r="L34" s="95"/>
      <c r="M34" s="95">
        <f>ROUND(D34*H34,2)</f>
        <v>0</v>
      </c>
      <c r="N34" s="182"/>
      <c r="O34" s="95">
        <f t="shared" si="2"/>
        <v>0</v>
      </c>
      <c r="P34" s="220">
        <f>'Rider Rates'!$D$55</f>
        <v>45929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337</v>
      </c>
      <c r="B35" s="70"/>
      <c r="C35" s="70"/>
      <c r="D35" s="90">
        <f>IF($C$14&lt;0,0,$C$14)</f>
        <v>0</v>
      </c>
      <c r="E35" s="91" t="s">
        <v>41</v>
      </c>
      <c r="F35" s="92" t="s">
        <v>8</v>
      </c>
      <c r="G35" s="93"/>
      <c r="H35" s="93"/>
      <c r="I35" s="93">
        <f>'Rider Rates'!$B$66</f>
        <v>7.3870000000000001E-4</v>
      </c>
      <c r="J35" s="93">
        <f t="shared" ref="J35" si="3">SUM(G35:I35)</f>
        <v>7.3870000000000001E-4</v>
      </c>
      <c r="K35" s="94" t="s">
        <v>42</v>
      </c>
      <c r="L35" s="95"/>
      <c r="M35" s="95"/>
      <c r="N35" s="95">
        <f>ROUND($D$35*'Rider Rates'!$B$66,2)</f>
        <v>0</v>
      </c>
      <c r="O35" s="95">
        <f>SUM(L35:N35)</f>
        <v>0</v>
      </c>
      <c r="P35" s="220">
        <f>'Rider Rates'!$D$66</f>
        <v>45747</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96</v>
      </c>
      <c r="B36" s="70"/>
      <c r="C36" s="70"/>
      <c r="D36" s="90">
        <f>IF('Customer Info'!C34=TRUE,0,IF($C$14&lt;0,0,$C$14))</f>
        <v>0</v>
      </c>
      <c r="E36" s="91" t="s">
        <v>41</v>
      </c>
      <c r="F36" s="92" t="s">
        <v>8</v>
      </c>
      <c r="G36" s="93"/>
      <c r="H36" s="93"/>
      <c r="I36" s="93">
        <f>'Rider Rates'!$B$69+'Rider Rates'!$C$69</f>
        <v>0</v>
      </c>
      <c r="J36" s="93">
        <f t="shared" si="0"/>
        <v>0</v>
      </c>
      <c r="K36" s="94" t="s">
        <v>42</v>
      </c>
      <c r="L36" s="95"/>
      <c r="M36" s="95"/>
      <c r="N36" s="95">
        <f>ROUND($D$36*'Rider Rates'!$B$69,2)+ROUND($D$36*'Rider Rates'!$C$69,2)</f>
        <v>0</v>
      </c>
      <c r="O36" s="95">
        <f>SUM(L36:N36)</f>
        <v>0</v>
      </c>
      <c r="P36" s="220">
        <f>'Rider Rates'!$D$69</f>
        <v>45444</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81</v>
      </c>
      <c r="B37" s="70"/>
      <c r="C37" s="70"/>
      <c r="D37" s="172">
        <f>$N$21</f>
        <v>10</v>
      </c>
      <c r="E37" s="91" t="s">
        <v>122</v>
      </c>
      <c r="F37" s="92" t="s">
        <v>8</v>
      </c>
      <c r="G37" s="99"/>
      <c r="H37" s="5"/>
      <c r="I37" s="106">
        <f>'Rider Rates'!$B$85</f>
        <v>3.5344300000000002E-2</v>
      </c>
      <c r="J37" s="106">
        <f t="shared" si="0"/>
        <v>3.5344300000000002E-2</v>
      </c>
      <c r="K37" s="94"/>
      <c r="L37" s="95"/>
      <c r="M37" s="95"/>
      <c r="N37" s="95">
        <f>ROUND(D37*I37,2)</f>
        <v>0.35</v>
      </c>
      <c r="O37" s="95">
        <f>SUM(L37:N37)</f>
        <v>0.35</v>
      </c>
      <c r="P37" s="220">
        <f>'Rider Rates'!$D$85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82</v>
      </c>
      <c r="B38" s="70"/>
      <c r="C38" s="70"/>
      <c r="D38" s="172">
        <f>$N$21</f>
        <v>10</v>
      </c>
      <c r="E38" s="91" t="s">
        <v>122</v>
      </c>
      <c r="F38" s="92" t="s">
        <v>8</v>
      </c>
      <c r="G38" s="100"/>
      <c r="H38" s="101"/>
      <c r="I38" s="106">
        <f>'Rider Rates'!$B$87</f>
        <v>7.8822199999999995E-2</v>
      </c>
      <c r="J38" s="106">
        <f t="shared" si="0"/>
        <v>7.8822199999999995E-2</v>
      </c>
      <c r="K38" s="94"/>
      <c r="L38" s="95"/>
      <c r="M38" s="95"/>
      <c r="N38" s="95">
        <f>ROUND(D38*I38,2)</f>
        <v>0.79</v>
      </c>
      <c r="O38" s="95">
        <f>SUM(L38:N38)</f>
        <v>0.79</v>
      </c>
      <c r="P38" s="220">
        <f>'Rider Rates'!$D$87</f>
        <v>45987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206</v>
      </c>
      <c r="B39" s="70"/>
      <c r="C39" s="70"/>
      <c r="D39" s="172"/>
      <c r="E39" s="91" t="s">
        <v>115</v>
      </c>
      <c r="F39" s="92"/>
      <c r="G39" s="100"/>
      <c r="H39" s="101"/>
      <c r="I39" s="173">
        <f>'Rider Rates'!$B$90</f>
        <v>2.62</v>
      </c>
      <c r="J39" s="173">
        <f t="shared" si="0"/>
        <v>2.62</v>
      </c>
      <c r="K39" s="94"/>
      <c r="L39" s="95"/>
      <c r="M39" s="95"/>
      <c r="N39" s="95">
        <f>I39</f>
        <v>2.62</v>
      </c>
      <c r="O39" s="95">
        <f>SUM(L39:N39)</f>
        <v>2.62</v>
      </c>
      <c r="P39" s="220">
        <f>'Rider Rates'!$D$90</f>
        <v>46022</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156</v>
      </c>
      <c r="B40" s="70"/>
      <c r="C40" s="70"/>
      <c r="D40" s="172">
        <f>$N$21</f>
        <v>10</v>
      </c>
      <c r="E40" s="91" t="s">
        <v>122</v>
      </c>
      <c r="F40" s="92" t="s">
        <v>8</v>
      </c>
      <c r="G40" s="100"/>
      <c r="H40" s="101"/>
      <c r="I40" s="106">
        <f>'Rider Rates'!$B$105</f>
        <v>0.24079249999999999</v>
      </c>
      <c r="J40" s="106">
        <f t="shared" si="0"/>
        <v>0.24079249999999999</v>
      </c>
      <c r="K40" s="94"/>
      <c r="L40" s="95"/>
      <c r="M40" s="95"/>
      <c r="N40" s="95">
        <f>ROUND(D40*I40,2)</f>
        <v>2.41</v>
      </c>
      <c r="O40" s="95">
        <f t="shared" ref="O40:O43" si="4">SUM(L40:N40)</f>
        <v>2.41</v>
      </c>
      <c r="P40" s="220">
        <f>'Rider Rates'!$D$105</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217</v>
      </c>
      <c r="B41" s="70"/>
      <c r="C41" s="70"/>
      <c r="D41" s="172"/>
      <c r="E41" s="91" t="s">
        <v>115</v>
      </c>
      <c r="F41" s="92"/>
      <c r="G41" s="100"/>
      <c r="H41" s="101"/>
      <c r="I41" s="233">
        <f>'Rider Rates'!B121</f>
        <v>0.2</v>
      </c>
      <c r="J41" s="173">
        <f t="shared" si="0"/>
        <v>0.2</v>
      </c>
      <c r="K41" s="94"/>
      <c r="L41" s="95"/>
      <c r="M41" s="95"/>
      <c r="N41" s="235">
        <f>I41</f>
        <v>0.2</v>
      </c>
      <c r="O41" s="95">
        <f t="shared" si="4"/>
        <v>0.2</v>
      </c>
      <c r="P41" s="220">
        <f>'Rider Rates'!D121</f>
        <v>45958</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208</v>
      </c>
      <c r="B42" s="70"/>
      <c r="C42" s="70"/>
      <c r="D42" s="90">
        <f>IF($C$14&lt;1,0,$C$14)</f>
        <v>0</v>
      </c>
      <c r="E42" s="91" t="s">
        <v>41</v>
      </c>
      <c r="F42" s="224" t="s">
        <v>8</v>
      </c>
      <c r="G42" s="93"/>
      <c r="H42" s="93"/>
      <c r="I42" s="213">
        <f>'Rider Rates'!$B$117</f>
        <v>0</v>
      </c>
      <c r="J42" s="213">
        <f>SUM(G42:I42)</f>
        <v>0</v>
      </c>
      <c r="K42" s="94" t="s">
        <v>42</v>
      </c>
      <c r="L42" s="95"/>
      <c r="M42" s="95"/>
      <c r="N42" s="95">
        <f>D42*J42</f>
        <v>0</v>
      </c>
      <c r="O42" s="95">
        <f t="shared" si="4"/>
        <v>0</v>
      </c>
      <c r="P42" s="220">
        <f>'Rider Rates'!D117</f>
        <v>45657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230</v>
      </c>
      <c r="B43" s="70"/>
      <c r="C43" s="70"/>
      <c r="D43" s="90"/>
      <c r="E43" s="91" t="s">
        <v>115</v>
      </c>
      <c r="F43" s="92" t="s">
        <v>8</v>
      </c>
      <c r="G43" s="238"/>
      <c r="H43" s="238"/>
      <c r="I43" s="238">
        <f>'Rider Rates'!$B$125</f>
        <v>0</v>
      </c>
      <c r="J43" s="238">
        <f>SUM(G43:I43)</f>
        <v>0</v>
      </c>
      <c r="K43" s="94"/>
      <c r="L43" s="186"/>
      <c r="M43" s="186"/>
      <c r="N43" s="186">
        <f>J43</f>
        <v>0</v>
      </c>
      <c r="O43" s="186">
        <f t="shared" si="4"/>
        <v>0</v>
      </c>
      <c r="P43" s="239">
        <f>'Rider Rates'!$E$125</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70" t="s">
        <v>242</v>
      </c>
      <c r="B44" s="70"/>
      <c r="C44" s="70"/>
      <c r="D44" s="90">
        <f>C14</f>
        <v>0</v>
      </c>
      <c r="E44" s="91" t="s">
        <v>41</v>
      </c>
      <c r="F44" s="224" t="s">
        <v>8</v>
      </c>
      <c r="G44" s="93"/>
      <c r="H44" s="93"/>
      <c r="I44" s="93">
        <f>'Rider Rates'!$B$130</f>
        <v>0</v>
      </c>
      <c r="J44" s="213">
        <f>SUM(G44:I44)</f>
        <v>0</v>
      </c>
      <c r="K44" s="94" t="s">
        <v>42</v>
      </c>
      <c r="L44" s="95"/>
      <c r="M44" s="95"/>
      <c r="N44" s="95">
        <f>D44*J44</f>
        <v>0</v>
      </c>
      <c r="O44" s="95">
        <f>SUM(L44:N44)</f>
        <v>0</v>
      </c>
      <c r="P44" s="220">
        <f>'Rider Rates'!D130</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241</v>
      </c>
      <c r="B45" s="70"/>
      <c r="C45" s="70"/>
      <c r="D45" s="90"/>
      <c r="E45" s="91" t="s">
        <v>115</v>
      </c>
      <c r="F45" s="92" t="s">
        <v>8</v>
      </c>
      <c r="G45" s="238"/>
      <c r="H45" s="238"/>
      <c r="I45" s="238">
        <f>'Rider Rates'!$B$137</f>
        <v>0</v>
      </c>
      <c r="J45" s="238">
        <f>SUM(G45:I45)</f>
        <v>0</v>
      </c>
      <c r="K45" s="94"/>
      <c r="L45" s="186"/>
      <c r="M45" s="186"/>
      <c r="N45" s="186">
        <f>J45</f>
        <v>0</v>
      </c>
      <c r="O45" s="186">
        <f>SUM(L45:N45)</f>
        <v>0</v>
      </c>
      <c r="P45" s="239">
        <f>'Rider Rates'!$D$133</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243</v>
      </c>
      <c r="B46" s="70"/>
      <c r="C46" s="70"/>
      <c r="D46" s="90"/>
      <c r="E46" s="91"/>
      <c r="F46" s="92"/>
      <c r="G46" s="238"/>
      <c r="H46" s="238"/>
      <c r="I46" s="238"/>
      <c r="J46" s="238"/>
      <c r="K46" s="94"/>
      <c r="L46" s="186"/>
      <c r="M46" s="186"/>
      <c r="N46" s="186"/>
      <c r="O46" s="186"/>
      <c r="P46" s="239"/>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56" t="s">
        <v>71</v>
      </c>
      <c r="B47" s="130"/>
      <c r="C47" s="130"/>
      <c r="D47" s="157"/>
      <c r="E47" s="158"/>
      <c r="F47" s="159"/>
      <c r="G47" s="159"/>
      <c r="H47" s="159"/>
      <c r="I47" s="159"/>
      <c r="J47" s="159"/>
      <c r="K47" s="160"/>
      <c r="L47" s="147">
        <f>SUM(L25:L46)</f>
        <v>0</v>
      </c>
      <c r="M47" s="147">
        <f t="shared" ref="M47:O47" si="5">SUM(M25:M46)</f>
        <v>0</v>
      </c>
      <c r="N47" s="147">
        <f t="shared" si="5"/>
        <v>6.37</v>
      </c>
      <c r="O47" s="147">
        <f t="shared" si="5"/>
        <v>6.37</v>
      </c>
      <c r="P47" s="161"/>
      <c r="Q47" s="92"/>
      <c r="R47" s="144"/>
      <c r="S47" s="144"/>
      <c r="T47" s="166"/>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c r="B48" s="70"/>
      <c r="C48" s="70"/>
      <c r="D48" s="90"/>
      <c r="E48" s="91"/>
      <c r="F48" s="92"/>
      <c r="G48" s="92"/>
      <c r="H48" s="92"/>
      <c r="I48" s="92"/>
      <c r="J48" s="96"/>
      <c r="K48" s="94"/>
      <c r="L48" s="92"/>
      <c r="M48" s="92"/>
      <c r="N48" s="92"/>
      <c r="O48" s="92"/>
      <c r="P48" s="142"/>
      <c r="Q48" s="92"/>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48"/>
      <c r="B49" s="148"/>
      <c r="C49" s="148"/>
      <c r="D49" s="148"/>
      <c r="E49" s="148"/>
      <c r="F49" s="148"/>
      <c r="G49" s="148"/>
      <c r="H49" s="148"/>
      <c r="I49" s="148"/>
      <c r="J49" s="148"/>
      <c r="K49" s="148"/>
      <c r="L49" s="163">
        <f>L21+L47</f>
        <v>0</v>
      </c>
      <c r="M49" s="163">
        <f>M21+M47</f>
        <v>0</v>
      </c>
      <c r="N49" s="163">
        <f>N21+N47</f>
        <v>16.37</v>
      </c>
      <c r="O49" s="164">
        <f>O21+O47</f>
        <v>16.37</v>
      </c>
      <c r="P49" s="164"/>
      <c r="Q49" s="92"/>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c r="B50" s="70"/>
      <c r="C50" s="70"/>
      <c r="D50" s="70"/>
      <c r="E50" s="70"/>
      <c r="F50" s="70"/>
      <c r="G50" s="70"/>
      <c r="H50" s="70"/>
      <c r="I50" s="70"/>
      <c r="J50" s="70"/>
      <c r="K50" s="70"/>
      <c r="L50" s="70"/>
      <c r="M50" s="70"/>
      <c r="N50" s="70"/>
      <c r="O50" s="70"/>
      <c r="P50" s="70"/>
      <c r="Q50" s="144"/>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144" t="s">
        <v>93</v>
      </c>
      <c r="B51" s="70"/>
      <c r="C51" s="70"/>
      <c r="D51" s="70"/>
      <c r="E51" s="70"/>
      <c r="F51" s="70"/>
      <c r="G51" s="70"/>
      <c r="H51" s="70"/>
      <c r="I51" s="70"/>
      <c r="J51" s="70"/>
      <c r="K51" s="70"/>
      <c r="L51" s="70"/>
      <c r="M51" s="70"/>
      <c r="N51" s="70"/>
      <c r="O51" s="97">
        <f>IF($C$14&lt;=0,MIN(O19,O49), O19)</f>
        <v>10</v>
      </c>
      <c r="P51" s="70"/>
      <c r="Q51" s="144"/>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c r="B52" s="144"/>
      <c r="C52" s="144"/>
      <c r="D52" s="144"/>
      <c r="E52" s="144"/>
      <c r="F52" s="144"/>
      <c r="G52" s="144"/>
      <c r="H52" s="14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30" t="s">
        <v>117</v>
      </c>
      <c r="B53" s="70"/>
      <c r="C53" s="70"/>
      <c r="D53" s="70"/>
      <c r="E53" s="70"/>
      <c r="F53" s="70"/>
      <c r="G53" s="70"/>
      <c r="H53" s="70"/>
      <c r="I53" s="70"/>
      <c r="J53" s="70"/>
      <c r="K53" s="70"/>
      <c r="L53" s="70"/>
      <c r="M53" s="70"/>
      <c r="N53" s="70"/>
      <c r="O53" s="167">
        <f>IF($C$14&lt;0,O49,IF(O49&gt;O51,O49,I48))</f>
        <v>16.37</v>
      </c>
      <c r="P53" s="92"/>
      <c r="Q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121"/>
      <c r="P54" s="92"/>
      <c r="Q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144"/>
      <c r="C55" s="144"/>
      <c r="D55" s="144"/>
      <c r="E55" s="144"/>
      <c r="F55" s="144"/>
      <c r="G55" s="144"/>
      <c r="H55" s="144"/>
      <c r="I55" s="144" t="s">
        <v>121</v>
      </c>
      <c r="J55" s="144"/>
      <c r="K55" s="144"/>
      <c r="L55" s="168"/>
      <c r="M55" s="168"/>
      <c r="N55" s="168"/>
      <c r="O55" s="168">
        <f>ROUND(IF($C$14&lt;1,0,O49/($C$14*100)*10000),2)</f>
        <v>0</v>
      </c>
      <c r="P55" s="33" t="s">
        <v>87</v>
      </c>
      <c r="Q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row>
    <row r="56" spans="1:236" x14ac:dyDescent="0.2">
      <c r="A56" s="70"/>
      <c r="B56" s="70"/>
      <c r="C56" s="70"/>
      <c r="D56" s="70"/>
      <c r="E56" s="70"/>
      <c r="F56" s="70"/>
      <c r="G56" s="70"/>
      <c r="H56" s="169"/>
      <c r="I56" s="217" t="s">
        <v>190</v>
      </c>
      <c r="J56" s="70"/>
      <c r="K56" s="70"/>
      <c r="L56" s="70"/>
      <c r="M56" s="70"/>
      <c r="N56" s="70"/>
      <c r="O56" s="218">
        <f>ROUND(IF($C$14&lt;1,0,(L49)/($C$14*100)*10000),2)</f>
        <v>0</v>
      </c>
      <c r="P56" s="23" t="s">
        <v>87</v>
      </c>
      <c r="Q56" s="70"/>
      <c r="AE56" s="70"/>
      <c r="AF56" s="70"/>
      <c r="AG56" s="70"/>
      <c r="AH56" s="70"/>
      <c r="AI56" s="70"/>
      <c r="AJ56" s="70"/>
      <c r="AK56" s="70"/>
      <c r="AL56" s="70"/>
      <c r="AM56" s="70"/>
      <c r="AN56" s="70"/>
      <c r="AO56" s="70"/>
      <c r="AP56" s="70"/>
      <c r="AQ56" s="70"/>
      <c r="AR56" s="70"/>
      <c r="AS56" s="70"/>
      <c r="AT56" s="70"/>
      <c r="HE56" s="70"/>
      <c r="HF56" s="70"/>
      <c r="HG56" s="70"/>
      <c r="HH56" s="70"/>
      <c r="HI56" s="70"/>
      <c r="HJ56" s="70"/>
      <c r="HK56" s="70"/>
      <c r="HL56" s="70"/>
      <c r="HM56" s="70"/>
      <c r="HN56" s="70"/>
    </row>
    <row r="57" spans="1:236" x14ac:dyDescent="0.2">
      <c r="A57" s="70"/>
    </row>
    <row r="58" spans="1:236" x14ac:dyDescent="0.2">
      <c r="A58" s="70"/>
    </row>
    <row r="59" spans="1:236" x14ac:dyDescent="0.2">
      <c r="A59" s="70"/>
    </row>
    <row r="60" spans="1:236" x14ac:dyDescent="0.2">
      <c r="A60" s="70"/>
    </row>
    <row r="61" spans="1:236" x14ac:dyDescent="0.2">
      <c r="A61" s="70"/>
    </row>
    <row r="62" spans="1:236" x14ac:dyDescent="0.2">
      <c r="A62" s="70"/>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AD72"/>
  <sheetViews>
    <sheetView zoomScale="80" zoomScaleNormal="80" workbookViewId="0">
      <selection sqref="A1:P1"/>
    </sheetView>
  </sheetViews>
  <sheetFormatPr defaultColWidth="8.5703125" defaultRowHeight="12.75" x14ac:dyDescent="0.2"/>
  <cols>
    <col min="1" max="1" width="37.5703125" style="279" customWidth="1"/>
    <col min="2" max="2" width="2.140625" style="279" customWidth="1"/>
    <col min="3" max="3" width="14.5703125" style="279" customWidth="1"/>
    <col min="4" max="4" width="15.42578125" style="279" customWidth="1"/>
    <col min="5" max="5" width="9.85546875" style="279" customWidth="1"/>
    <col min="6" max="6" width="5.5703125" style="279" customWidth="1"/>
    <col min="7" max="8" width="13.42578125" style="279" customWidth="1"/>
    <col min="9" max="9" width="14.5703125" style="279" customWidth="1"/>
    <col min="10" max="10" width="14.85546875" style="279" bestFit="1" customWidth="1"/>
    <col min="11" max="11" width="7" style="279" customWidth="1"/>
    <col min="12" max="12" width="15.140625" style="279" customWidth="1"/>
    <col min="13" max="13" width="17.42578125" style="279" bestFit="1" customWidth="1"/>
    <col min="14" max="14" width="16.5703125" style="279" customWidth="1"/>
    <col min="15" max="15" width="17.42578125" style="279" bestFit="1" customWidth="1"/>
    <col min="16" max="16" width="12.85546875" style="279" bestFit="1" customWidth="1"/>
    <col min="17" max="17" width="8.5703125" style="279"/>
    <col min="18" max="18" width="13.8554687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316</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c r="L5" s="280"/>
      <c r="M5" s="280"/>
      <c r="N5" s="280"/>
      <c r="O5" s="280"/>
      <c r="P5" s="280"/>
    </row>
    <row r="6" spans="1:30" x14ac:dyDescent="0.2">
      <c r="A6" s="281">
        <f ca="1">TODAY()</f>
        <v>46051</v>
      </c>
      <c r="B6" s="282" t="s">
        <v>317</v>
      </c>
      <c r="C6" s="282"/>
      <c r="D6" s="282"/>
      <c r="E6" s="282"/>
      <c r="F6" s="282"/>
      <c r="G6" s="282"/>
      <c r="H6" s="282"/>
      <c r="I6" s="282"/>
      <c r="J6" s="282"/>
      <c r="K6" s="282"/>
      <c r="L6" s="282"/>
      <c r="M6" s="282"/>
      <c r="N6" s="282"/>
      <c r="O6" s="282"/>
    </row>
    <row r="7" spans="1:30" x14ac:dyDescent="0.2">
      <c r="A7" s="434" t="s">
        <v>15</v>
      </c>
      <c r="B7" s="434"/>
      <c r="C7" s="434"/>
      <c r="D7" s="434"/>
      <c r="E7" s="434"/>
      <c r="F7" s="434"/>
      <c r="G7" s="434"/>
      <c r="H7" s="434"/>
      <c r="I7" s="434"/>
      <c r="J7" s="434"/>
      <c r="K7" s="434"/>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290"/>
      <c r="K12" s="290"/>
      <c r="L12" s="290"/>
      <c r="M12" s="290"/>
      <c r="N12" s="290"/>
      <c r="O12" s="290"/>
      <c r="P12" s="290"/>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2" t="s">
        <v>27</v>
      </c>
      <c r="R13" s="279" t="s">
        <v>168</v>
      </c>
      <c r="S13" s="293">
        <v>1.8274700000000001E-2</v>
      </c>
      <c r="T13" s="293">
        <v>1.8274700000000001E-2</v>
      </c>
      <c r="U13" s="293">
        <v>1.8274700000000001E-2</v>
      </c>
      <c r="V13" s="293">
        <v>1.8274700000000001E-2</v>
      </c>
      <c r="W13" s="293">
        <v>1.8274700000000001E-2</v>
      </c>
      <c r="X13" s="293">
        <v>1.8274700000000001E-2</v>
      </c>
      <c r="Y13" s="293">
        <v>1.8274700000000001E-2</v>
      </c>
      <c r="Z13" s="293">
        <v>1.8274700000000001E-2</v>
      </c>
      <c r="AA13" s="293">
        <v>1.8274700000000001E-2</v>
      </c>
      <c r="AB13" s="293">
        <v>1.8274700000000001E-2</v>
      </c>
      <c r="AC13" s="293">
        <v>1.8274700000000001E-2</v>
      </c>
      <c r="AD13" s="293">
        <v>1.8274700000000001E-2</v>
      </c>
    </row>
    <row r="14" spans="1:30" x14ac:dyDescent="0.2">
      <c r="R14" s="279" t="s">
        <v>169</v>
      </c>
      <c r="S14" s="293">
        <v>1.8274700000000001E-2</v>
      </c>
      <c r="T14" s="293">
        <v>1.8274700000000001E-2</v>
      </c>
      <c r="U14" s="293">
        <v>1.8274700000000001E-2</v>
      </c>
      <c r="V14" s="293">
        <v>1.8274700000000001E-2</v>
      </c>
      <c r="W14" s="293">
        <v>1.8274700000000001E-2</v>
      </c>
      <c r="X14" s="293">
        <v>1.8274700000000001E-2</v>
      </c>
      <c r="Y14" s="293">
        <v>1.8274700000000001E-2</v>
      </c>
      <c r="Z14" s="293">
        <v>1.8274700000000001E-2</v>
      </c>
      <c r="AA14" s="293">
        <v>1.8274700000000001E-2</v>
      </c>
      <c r="AB14" s="293">
        <v>1.8274700000000001E-2</v>
      </c>
      <c r="AC14" s="293">
        <v>1.8274700000000001E-2</v>
      </c>
      <c r="AD14" s="293">
        <v>1.8274700000000001E-2</v>
      </c>
    </row>
    <row r="15" spans="1:30" x14ac:dyDescent="0.2">
      <c r="A15" s="294" t="s">
        <v>331</v>
      </c>
      <c r="C15" s="285">
        <f>IF('Customer Info'!B21&lt;0,0,'Customer Info'!B21)</f>
        <v>0</v>
      </c>
      <c r="S15" s="293"/>
      <c r="T15" s="293"/>
      <c r="U15" s="293"/>
      <c r="V15" s="293"/>
      <c r="W15" s="293"/>
      <c r="X15" s="293"/>
      <c r="Y15" s="293"/>
      <c r="Z15" s="293"/>
      <c r="AA15" s="293"/>
      <c r="AB15" s="293"/>
      <c r="AC15" s="293"/>
      <c r="AD15" s="293"/>
    </row>
    <row r="16" spans="1:30" x14ac:dyDescent="0.2">
      <c r="A16" s="294" t="s">
        <v>332</v>
      </c>
      <c r="C16" s="285">
        <f>IF('Customer Info'!B22&lt;0,0,'Customer Info'!B22)</f>
        <v>0</v>
      </c>
      <c r="S16" s="293"/>
      <c r="T16" s="293"/>
      <c r="U16" s="293"/>
      <c r="V16" s="293"/>
      <c r="W16" s="293"/>
      <c r="X16" s="293"/>
      <c r="Y16" s="293"/>
      <c r="Z16" s="293"/>
      <c r="AA16" s="293"/>
      <c r="AB16" s="293"/>
      <c r="AC16" s="293"/>
      <c r="AD16" s="293"/>
    </row>
    <row r="17" spans="1:30" x14ac:dyDescent="0.2">
      <c r="A17" s="294" t="s">
        <v>333</v>
      </c>
      <c r="B17" s="295"/>
      <c r="C17" s="279">
        <f>C15+C16</f>
        <v>0</v>
      </c>
      <c r="D17" s="295" t="s">
        <v>41</v>
      </c>
      <c r="E17" s="295"/>
      <c r="F17" s="296"/>
      <c r="G17" s="295"/>
      <c r="H17" s="295"/>
      <c r="I17" s="295"/>
      <c r="R17" s="297" t="s">
        <v>187</v>
      </c>
      <c r="S17" s="279">
        <f>'Rider Rates'!$C$21</f>
        <v>7.6880000000000004E-2</v>
      </c>
      <c r="T17" s="279">
        <f>'Rider Rates'!$C$21</f>
        <v>7.6880000000000004E-2</v>
      </c>
      <c r="U17" s="279">
        <f>'Rider Rates'!$C$21</f>
        <v>7.6880000000000004E-2</v>
      </c>
      <c r="V17" s="279">
        <f>'Rider Rates'!$C$21</f>
        <v>7.6880000000000004E-2</v>
      </c>
      <c r="W17" s="279">
        <f>'Rider Rates'!$C$21</f>
        <v>7.6880000000000004E-2</v>
      </c>
      <c r="X17" s="279">
        <f>'Rider Rates'!$B$21</f>
        <v>7.6880000000000004E-2</v>
      </c>
      <c r="Y17" s="279">
        <f>'Rider Rates'!$B$21</f>
        <v>7.6880000000000004E-2</v>
      </c>
      <c r="Z17" s="279">
        <f>'Rider Rates'!$B$21</f>
        <v>7.6880000000000004E-2</v>
      </c>
      <c r="AA17" s="279">
        <f>'Rider Rates'!$B$21</f>
        <v>7.6880000000000004E-2</v>
      </c>
      <c r="AB17" s="279">
        <f>'Rider Rates'!$C$21</f>
        <v>7.6880000000000004E-2</v>
      </c>
      <c r="AC17" s="279">
        <f>'Rider Rates'!$C$21</f>
        <v>7.6880000000000004E-2</v>
      </c>
      <c r="AD17" s="279">
        <f>'Rider Rates'!$C$21</f>
        <v>7.6880000000000004E-2</v>
      </c>
    </row>
    <row r="18" spans="1:30" x14ac:dyDescent="0.2">
      <c r="A18" s="295"/>
      <c r="B18" s="295"/>
      <c r="C18" s="296"/>
      <c r="D18" s="296"/>
      <c r="E18" s="296"/>
      <c r="F18" s="296"/>
      <c r="G18" s="283"/>
      <c r="H18" s="295"/>
      <c r="I18" s="295"/>
    </row>
    <row r="19" spans="1:30" x14ac:dyDescent="0.2">
      <c r="A19" s="298" t="s">
        <v>124</v>
      </c>
      <c r="B19" s="299"/>
      <c r="C19" s="299"/>
      <c r="D19" s="299"/>
      <c r="E19" s="299"/>
      <c r="F19" s="299"/>
      <c r="G19" s="427" t="s">
        <v>68</v>
      </c>
      <c r="H19" s="428"/>
      <c r="I19" s="428"/>
      <c r="J19" s="429"/>
      <c r="K19" s="299"/>
      <c r="L19" s="430" t="s">
        <v>69</v>
      </c>
      <c r="M19" s="430"/>
      <c r="N19" s="430"/>
      <c r="O19" s="430"/>
    </row>
    <row r="20" spans="1:30" x14ac:dyDescent="0.2">
      <c r="G20" s="300" t="s">
        <v>65</v>
      </c>
      <c r="H20" s="300" t="s">
        <v>66</v>
      </c>
      <c r="I20" s="300" t="s">
        <v>67</v>
      </c>
      <c r="J20" s="301" t="s">
        <v>34</v>
      </c>
      <c r="L20" s="302" t="s">
        <v>65</v>
      </c>
      <c r="M20" s="302" t="s">
        <v>66</v>
      </c>
      <c r="N20" s="302" t="s">
        <v>67</v>
      </c>
      <c r="O20" s="302" t="s">
        <v>34</v>
      </c>
      <c r="P20" s="303" t="s">
        <v>57</v>
      </c>
    </row>
    <row r="21" spans="1:30" x14ac:dyDescent="0.2">
      <c r="A21" s="304" t="s">
        <v>32</v>
      </c>
      <c r="G21" s="305"/>
      <c r="H21" s="305"/>
      <c r="I21" s="225">
        <f>'Rider Rates'!B142</f>
        <v>10</v>
      </c>
      <c r="J21" s="225">
        <f>SUM(G21:I21)</f>
        <v>10</v>
      </c>
      <c r="L21" s="225"/>
      <c r="M21" s="225"/>
      <c r="N21" s="225">
        <f>I21</f>
        <v>10</v>
      </c>
      <c r="O21" s="225">
        <f>+SUM(L21:N21)</f>
        <v>10</v>
      </c>
      <c r="P21" s="306">
        <v>44531</v>
      </c>
    </row>
    <row r="22" spans="1:30" x14ac:dyDescent="0.2">
      <c r="A22" s="307" t="s">
        <v>329</v>
      </c>
      <c r="D22" s="308">
        <f>C15</f>
        <v>0</v>
      </c>
      <c r="E22" s="309" t="s">
        <v>41</v>
      </c>
      <c r="F22" s="310" t="s">
        <v>8</v>
      </c>
      <c r="G22" s="311"/>
      <c r="H22" s="311"/>
      <c r="I22" s="311">
        <f>'Rider Rates'!C142</f>
        <v>3.7427700000000001E-2</v>
      </c>
      <c r="J22" s="311">
        <f>SUM(G22:I22)</f>
        <v>3.7427700000000001E-2</v>
      </c>
      <c r="K22" s="312" t="s">
        <v>42</v>
      </c>
      <c r="L22" s="313"/>
      <c r="M22" s="313"/>
      <c r="N22" s="313">
        <f>ROUND($D22*I22,2)</f>
        <v>0</v>
      </c>
      <c r="O22" s="225">
        <f>+SUM(L22:N22)</f>
        <v>0</v>
      </c>
      <c r="P22" s="306">
        <f>'Rider Rates'!H142</f>
        <v>45444</v>
      </c>
    </row>
    <row r="23" spans="1:30" x14ac:dyDescent="0.2">
      <c r="A23" s="307" t="s">
        <v>330</v>
      </c>
      <c r="D23" s="308">
        <f>C16</f>
        <v>0</v>
      </c>
      <c r="E23" s="312" t="s">
        <v>92</v>
      </c>
      <c r="F23" s="310"/>
      <c r="G23" s="311"/>
      <c r="H23" s="311"/>
      <c r="I23" s="311">
        <f>'Rider Rates'!D142</f>
        <v>1.5787499999999999E-2</v>
      </c>
      <c r="J23" s="311">
        <f>SUM(G23:I23)</f>
        <v>1.5787499999999999E-2</v>
      </c>
      <c r="K23" s="312" t="s">
        <v>42</v>
      </c>
      <c r="L23" s="313"/>
      <c r="M23" s="313"/>
      <c r="N23" s="313">
        <f>ROUND($D23*I23,2)</f>
        <v>0</v>
      </c>
      <c r="O23" s="225">
        <f>+SUM(L23:N23)</f>
        <v>0</v>
      </c>
      <c r="P23" s="306">
        <f>'Rider Rates'!H142</f>
        <v>45444</v>
      </c>
    </row>
    <row r="24" spans="1:30" x14ac:dyDescent="0.2">
      <c r="A24" s="314" t="s">
        <v>75</v>
      </c>
      <c r="B24" s="315"/>
      <c r="C24" s="315"/>
      <c r="D24" s="316"/>
      <c r="E24" s="316"/>
      <c r="F24" s="315"/>
      <c r="G24" s="315"/>
      <c r="I24" s="317"/>
      <c r="K24" s="318"/>
      <c r="L24" s="319"/>
      <c r="M24" s="320"/>
      <c r="N24" s="319">
        <f>SUM(N19:N23)</f>
        <v>10</v>
      </c>
      <c r="O24" s="319">
        <f>SUM(O21:O23)</f>
        <v>10</v>
      </c>
      <c r="R24" s="321"/>
      <c r="S24" s="312"/>
      <c r="T24" s="322"/>
      <c r="V24" s="323"/>
    </row>
    <row r="25" spans="1:30" x14ac:dyDescent="0.2">
      <c r="A25" s="324"/>
      <c r="B25" s="324"/>
      <c r="C25" s="324"/>
      <c r="D25" s="325"/>
      <c r="E25" s="325"/>
      <c r="F25" s="324"/>
      <c r="G25" s="325"/>
      <c r="H25" s="325"/>
      <c r="I25" s="325"/>
      <c r="J25" s="325"/>
      <c r="K25" s="326"/>
      <c r="L25" s="325"/>
      <c r="M25" s="325"/>
      <c r="N25" s="325"/>
      <c r="O25" s="325"/>
      <c r="P25" s="325"/>
      <c r="R25" s="327"/>
      <c r="S25" s="312"/>
      <c r="T25" s="322"/>
      <c r="V25" s="323"/>
    </row>
    <row r="26" spans="1:30" x14ac:dyDescent="0.2">
      <c r="A26" s="292" t="s">
        <v>70</v>
      </c>
      <c r="B26" s="315"/>
      <c r="C26" s="315"/>
      <c r="D26" s="316"/>
      <c r="E26" s="316"/>
      <c r="F26" s="315"/>
      <c r="G26" s="316"/>
      <c r="H26" s="316"/>
      <c r="I26" s="316"/>
      <c r="J26" s="316"/>
      <c r="K26" s="316"/>
      <c r="L26" s="316"/>
      <c r="M26" s="316"/>
      <c r="N26" s="316"/>
      <c r="O26" s="316"/>
      <c r="R26" s="327"/>
      <c r="S26" s="312"/>
      <c r="T26" s="322"/>
      <c r="V26" s="323"/>
    </row>
    <row r="27" spans="1:30" x14ac:dyDescent="0.2">
      <c r="P27" s="310"/>
      <c r="R27" s="327"/>
      <c r="S27" s="312"/>
      <c r="T27" s="322"/>
      <c r="V27" s="323"/>
    </row>
    <row r="28" spans="1:30" x14ac:dyDescent="0.2">
      <c r="A28" s="328" t="s">
        <v>79</v>
      </c>
      <c r="B28" s="329"/>
      <c r="C28" s="329"/>
      <c r="D28" s="308">
        <f>IF($C$17&lt;0,0,IF($C$17&gt;833000,833000,$C$17))</f>
        <v>0</v>
      </c>
      <c r="E28" s="309" t="s">
        <v>41</v>
      </c>
      <c r="F28" s="310" t="s">
        <v>8</v>
      </c>
      <c r="G28" s="330"/>
      <c r="H28" s="330"/>
      <c r="I28" s="330">
        <f>'Rider Rates'!$B$4</f>
        <v>5.5215000000000004E-3</v>
      </c>
      <c r="J28" s="331">
        <f t="shared" ref="J28:J48" si="0">SUM(G28:I28)</f>
        <v>5.5215000000000004E-3</v>
      </c>
      <c r="K28" s="312" t="s">
        <v>42</v>
      </c>
      <c r="L28" s="225"/>
      <c r="M28" s="225"/>
      <c r="N28" s="225">
        <f t="shared" ref="N28:N33" si="1">ROUND(D28*I28,2)</f>
        <v>0</v>
      </c>
      <c r="O28" s="225">
        <f t="shared" ref="O28:O49" si="2">SUM(L28:N28)</f>
        <v>0</v>
      </c>
      <c r="P28" s="306">
        <f>'Rider Rates'!$D$4</f>
        <v>46022</v>
      </c>
      <c r="R28" s="327"/>
      <c r="S28" s="312"/>
      <c r="T28" s="322"/>
      <c r="V28" s="323"/>
    </row>
    <row r="29" spans="1:30" x14ac:dyDescent="0.2">
      <c r="A29" s="328" t="s">
        <v>80</v>
      </c>
      <c r="D29" s="308">
        <f>IF($C$17&gt;833000,$C$17-833000,0)</f>
        <v>0</v>
      </c>
      <c r="E29" s="309" t="s">
        <v>41</v>
      </c>
      <c r="F29" s="310" t="s">
        <v>8</v>
      </c>
      <c r="G29" s="330"/>
      <c r="H29" s="330"/>
      <c r="I29" s="330">
        <f>'Rider Rates'!$B$5</f>
        <v>1.7560000000000001E-4</v>
      </c>
      <c r="J29" s="331">
        <f t="shared" si="0"/>
        <v>1.7560000000000001E-4</v>
      </c>
      <c r="K29" s="312" t="s">
        <v>42</v>
      </c>
      <c r="L29" s="225"/>
      <c r="M29" s="225"/>
      <c r="N29" s="225">
        <f t="shared" si="1"/>
        <v>0</v>
      </c>
      <c r="O29" s="225">
        <f t="shared" si="2"/>
        <v>0</v>
      </c>
      <c r="P29" s="306">
        <f>'Rider Rates'!$D$4</f>
        <v>46022</v>
      </c>
      <c r="R29" s="327"/>
      <c r="S29" s="312"/>
      <c r="T29" s="322"/>
      <c r="V29" s="323"/>
    </row>
    <row r="30" spans="1:30" x14ac:dyDescent="0.2">
      <c r="A30" s="328" t="s">
        <v>97</v>
      </c>
      <c r="D30" s="308">
        <f>IF($C$17&lt;0,0,IF($C$17&gt;2000,2000,$C$17))</f>
        <v>0</v>
      </c>
      <c r="E30" s="309" t="s">
        <v>41</v>
      </c>
      <c r="F30" s="310" t="s">
        <v>8</v>
      </c>
      <c r="G30" s="330"/>
      <c r="H30" s="330"/>
      <c r="I30" s="332">
        <f>'Rider Rates'!$B$8</f>
        <v>4.6499999999999996E-3</v>
      </c>
      <c r="J30" s="332">
        <f t="shared" si="0"/>
        <v>4.6499999999999996E-3</v>
      </c>
      <c r="K30" s="312" t="s">
        <v>42</v>
      </c>
      <c r="L30" s="225"/>
      <c r="M30" s="225"/>
      <c r="N30" s="225">
        <f t="shared" si="1"/>
        <v>0</v>
      </c>
      <c r="O30" s="225">
        <f t="shared" si="2"/>
        <v>0</v>
      </c>
      <c r="P30" s="306">
        <f>'Rider Rates'!$D$7</f>
        <v>44531</v>
      </c>
      <c r="R30" s="327"/>
      <c r="S30" s="312"/>
      <c r="T30" s="322"/>
      <c r="V30" s="323"/>
    </row>
    <row r="31" spans="1:30" x14ac:dyDescent="0.2">
      <c r="A31" s="328" t="s">
        <v>98</v>
      </c>
      <c r="D31" s="308">
        <f>IF($C$17&lt;=2000,0,IF($C$17=0,0,IF($C$17-2000&gt;13000,13000,$C$17-2000)))</f>
        <v>0</v>
      </c>
      <c r="E31" s="309" t="s">
        <v>41</v>
      </c>
      <c r="F31" s="310" t="s">
        <v>8</v>
      </c>
      <c r="G31" s="330"/>
      <c r="H31" s="330"/>
      <c r="I31" s="332">
        <f>'Rider Rates'!$B$9</f>
        <v>4.1900000000000001E-3</v>
      </c>
      <c r="J31" s="332">
        <f t="shared" si="0"/>
        <v>4.1900000000000001E-3</v>
      </c>
      <c r="K31" s="312" t="s">
        <v>42</v>
      </c>
      <c r="L31" s="225"/>
      <c r="M31" s="225"/>
      <c r="N31" s="225">
        <f t="shared" si="1"/>
        <v>0</v>
      </c>
      <c r="O31" s="225">
        <f t="shared" si="2"/>
        <v>0</v>
      </c>
      <c r="P31" s="306">
        <f>'Rider Rates'!$D$7</f>
        <v>44531</v>
      </c>
      <c r="R31" s="327"/>
      <c r="S31" s="312"/>
      <c r="T31" s="322"/>
      <c r="V31" s="323"/>
    </row>
    <row r="32" spans="1:30" x14ac:dyDescent="0.2">
      <c r="A32" s="328" t="s">
        <v>99</v>
      </c>
      <c r="D32" s="308">
        <f>IF($C$17=0,0,IF($C$17-15000&gt;=0,$C$17-15000,0))</f>
        <v>0</v>
      </c>
      <c r="E32" s="309" t="s">
        <v>41</v>
      </c>
      <c r="F32" s="310" t="s">
        <v>8</v>
      </c>
      <c r="G32" s="330"/>
      <c r="H32" s="330"/>
      <c r="I32" s="332">
        <f>'Rider Rates'!$B$10</f>
        <v>3.63E-3</v>
      </c>
      <c r="J32" s="332">
        <f t="shared" si="0"/>
        <v>3.63E-3</v>
      </c>
      <c r="K32" s="312" t="s">
        <v>42</v>
      </c>
      <c r="L32" s="225"/>
      <c r="M32" s="225"/>
      <c r="N32" s="225">
        <f t="shared" si="1"/>
        <v>0</v>
      </c>
      <c r="O32" s="225">
        <f t="shared" si="2"/>
        <v>0</v>
      </c>
      <c r="P32" s="306">
        <f>'Rider Rates'!$D$7</f>
        <v>44531</v>
      </c>
      <c r="R32" s="327"/>
      <c r="S32" s="312"/>
      <c r="T32" s="322"/>
      <c r="V32" s="323"/>
    </row>
    <row r="33" spans="1:22" x14ac:dyDescent="0.2">
      <c r="A33" s="328" t="s">
        <v>114</v>
      </c>
      <c r="D33" s="333">
        <f>$N$24</f>
        <v>10</v>
      </c>
      <c r="E33" s="309" t="s">
        <v>122</v>
      </c>
      <c r="F33" s="310" t="s">
        <v>8</v>
      </c>
      <c r="G33" s="330"/>
      <c r="H33" s="330"/>
      <c r="I33" s="334">
        <f>'Rider Rates'!$B$12</f>
        <v>0</v>
      </c>
      <c r="J33" s="334">
        <f t="shared" si="0"/>
        <v>0</v>
      </c>
      <c r="K33" s="312"/>
      <c r="L33" s="225"/>
      <c r="M33" s="225"/>
      <c r="N33" s="225">
        <f t="shared" si="1"/>
        <v>0</v>
      </c>
      <c r="O33" s="225">
        <f t="shared" si="2"/>
        <v>0</v>
      </c>
      <c r="P33" s="306">
        <f>'Rider Rates'!$D$12</f>
        <v>44531</v>
      </c>
      <c r="R33" s="327"/>
      <c r="S33" s="312"/>
      <c r="T33" s="322"/>
      <c r="V33" s="323"/>
    </row>
    <row r="34" spans="1:22" x14ac:dyDescent="0.2">
      <c r="A34" s="297" t="s">
        <v>159</v>
      </c>
      <c r="D34" s="308">
        <f>IF($C$17&lt;0,0,$C$17)</f>
        <v>0</v>
      </c>
      <c r="E34" s="309" t="s">
        <v>41</v>
      </c>
      <c r="F34" s="310" t="s">
        <v>8</v>
      </c>
      <c r="G34" s="330"/>
      <c r="H34" s="330"/>
      <c r="I34" s="330">
        <f>'Rider Rates'!$B$15</f>
        <v>0</v>
      </c>
      <c r="J34" s="330">
        <f>SUM(G34:I34)</f>
        <v>0</v>
      </c>
      <c r="K34" s="312" t="s">
        <v>42</v>
      </c>
      <c r="L34" s="225"/>
      <c r="M34" s="225"/>
      <c r="N34" s="225">
        <f>ROUND(D34*I34,2)</f>
        <v>0</v>
      </c>
      <c r="O34" s="225">
        <f t="shared" si="2"/>
        <v>0</v>
      </c>
      <c r="P34" s="306">
        <f>'Rider Rates'!$D$15</f>
        <v>45505</v>
      </c>
      <c r="R34" s="327"/>
      <c r="S34" s="312"/>
      <c r="T34" s="322"/>
      <c r="V34" s="323"/>
    </row>
    <row r="35" spans="1:22" x14ac:dyDescent="0.2">
      <c r="A35" s="297" t="s">
        <v>237</v>
      </c>
      <c r="D35" s="333">
        <f>$N$24</f>
        <v>10</v>
      </c>
      <c r="E35" s="309" t="s">
        <v>122</v>
      </c>
      <c r="F35" s="310" t="s">
        <v>8</v>
      </c>
      <c r="G35" s="330"/>
      <c r="H35" s="330"/>
      <c r="I35" s="334">
        <f>'Rider Rates'!$B$18+'Rider Rates'!$E$18</f>
        <v>0</v>
      </c>
      <c r="J35" s="334">
        <f>SUM(G35:I35)</f>
        <v>0</v>
      </c>
      <c r="K35" s="312"/>
      <c r="L35" s="225"/>
      <c r="M35" s="225"/>
      <c r="N35" s="225">
        <f>ROUND($D$35*'Rider Rates'!$B$18,2)+ROUND($D$35*'Rider Rates'!$E$18,2)</f>
        <v>0</v>
      </c>
      <c r="O35" s="225">
        <f t="shared" si="2"/>
        <v>0</v>
      </c>
      <c r="P35" s="306">
        <f>MAX('Rider Rates'!$D$18,'Rider Rates'!$F$18)</f>
        <v>44531</v>
      </c>
      <c r="R35" s="327"/>
      <c r="S35" s="312"/>
      <c r="T35" s="322"/>
      <c r="V35" s="323"/>
    </row>
    <row r="36" spans="1:22" x14ac:dyDescent="0.2">
      <c r="A36" s="297" t="s">
        <v>186</v>
      </c>
      <c r="D36" s="308">
        <f>'Customer Info'!$B$21+'Customer Info'!$B$22</f>
        <v>0</v>
      </c>
      <c r="E36" s="309" t="s">
        <v>41</v>
      </c>
      <c r="F36" s="310" t="s">
        <v>8</v>
      </c>
      <c r="G36" s="330"/>
      <c r="H36" s="330"/>
      <c r="I36" s="330"/>
      <c r="J36" s="335">
        <f>SUM(G36:H36)</f>
        <v>0</v>
      </c>
      <c r="K36" s="312" t="s">
        <v>42</v>
      </c>
      <c r="L36" s="225">
        <f>ROUND(D36*G36,2)</f>
        <v>0</v>
      </c>
      <c r="M36" s="225"/>
      <c r="N36" s="225"/>
      <c r="O36" s="225">
        <f t="shared" si="2"/>
        <v>0</v>
      </c>
      <c r="P36" s="306">
        <f>'Rider Rates'!$D$21</f>
        <v>45809</v>
      </c>
      <c r="R36" s="327"/>
      <c r="S36" s="312"/>
      <c r="T36" s="322"/>
      <c r="V36" s="323"/>
    </row>
    <row r="37" spans="1:22" x14ac:dyDescent="0.2">
      <c r="A37" s="279" t="s">
        <v>172</v>
      </c>
      <c r="D37" s="308">
        <f>'Customer Info'!$B$21+'Customer Info'!$B$22</f>
        <v>0</v>
      </c>
      <c r="E37" s="309" t="s">
        <v>41</v>
      </c>
      <c r="F37" s="310" t="s">
        <v>8</v>
      </c>
      <c r="G37" s="330"/>
      <c r="H37" s="330"/>
      <c r="I37" s="330"/>
      <c r="J37" s="335">
        <f>SUM(G37:H37)</f>
        <v>0</v>
      </c>
      <c r="K37" s="312" t="s">
        <v>42</v>
      </c>
      <c r="L37" s="225">
        <f>ROUND(D37*G37,2)</f>
        <v>0</v>
      </c>
      <c r="M37" s="225"/>
      <c r="N37" s="225"/>
      <c r="O37" s="225">
        <f t="shared" si="2"/>
        <v>0</v>
      </c>
      <c r="P37" s="306">
        <f>'Rider Rates'!$D$29</f>
        <v>45809</v>
      </c>
      <c r="R37" s="327"/>
      <c r="S37" s="312"/>
      <c r="T37" s="322"/>
      <c r="V37" s="323"/>
    </row>
    <row r="38" spans="1:22" x14ac:dyDescent="0.2">
      <c r="A38" s="297" t="s">
        <v>193</v>
      </c>
      <c r="D38" s="308">
        <f>'Customer Info'!$B$21+'Customer Info'!$B$22</f>
        <v>0</v>
      </c>
      <c r="E38" s="309" t="s">
        <v>41</v>
      </c>
      <c r="F38" s="310" t="s">
        <v>8</v>
      </c>
      <c r="G38" s="330"/>
      <c r="H38" s="330"/>
      <c r="I38" s="330"/>
      <c r="J38" s="335">
        <f>SUM(G38:H38)</f>
        <v>0</v>
      </c>
      <c r="K38" s="312" t="s">
        <v>42</v>
      </c>
      <c r="L38" s="225">
        <f>ROUND(D38*G38,2)</f>
        <v>0</v>
      </c>
      <c r="M38" s="225"/>
      <c r="N38" s="225"/>
      <c r="O38" s="225">
        <f>SUM(L38:N38)</f>
        <v>0</v>
      </c>
      <c r="P38" s="306">
        <f>'Rider Rates'!$D$45</f>
        <v>46022</v>
      </c>
      <c r="R38" s="327"/>
      <c r="S38" s="312"/>
      <c r="T38" s="322"/>
      <c r="V38" s="323"/>
    </row>
    <row r="39" spans="1:22" x14ac:dyDescent="0.2">
      <c r="A39" s="279" t="s">
        <v>210</v>
      </c>
      <c r="D39" s="308"/>
      <c r="E39" s="309" t="s">
        <v>115</v>
      </c>
      <c r="F39" s="310" t="s">
        <v>15</v>
      </c>
      <c r="G39" s="330"/>
      <c r="H39" s="330"/>
      <c r="I39" s="330">
        <f>'Rider Rates'!D48</f>
        <v>0</v>
      </c>
      <c r="J39" s="330">
        <f>SUM(G39:I39)</f>
        <v>0</v>
      </c>
      <c r="K39" s="312" t="s">
        <v>42</v>
      </c>
      <c r="L39" s="225"/>
      <c r="M39" s="225"/>
      <c r="N39" s="225">
        <f>J39</f>
        <v>0</v>
      </c>
      <c r="O39" s="225">
        <f>SUM(L39:N39)</f>
        <v>0</v>
      </c>
      <c r="P39" s="306">
        <f>'Rider Rates'!E48</f>
        <v>45883</v>
      </c>
      <c r="R39" s="327"/>
      <c r="S39" s="312"/>
      <c r="T39" s="322"/>
      <c r="V39" s="323"/>
    </row>
    <row r="40" spans="1:22" x14ac:dyDescent="0.2">
      <c r="A40" s="297" t="s">
        <v>189</v>
      </c>
      <c r="D40" s="308">
        <f>IF($C$17&lt;0,0,$C$17)</f>
        <v>0</v>
      </c>
      <c r="E40" s="309" t="s">
        <v>41</v>
      </c>
      <c r="F40" s="310" t="s">
        <v>8</v>
      </c>
      <c r="G40" s="330"/>
      <c r="H40" s="330">
        <f>'Rider Rates'!$B$55</f>
        <v>3.55042E-2</v>
      </c>
      <c r="I40" s="330"/>
      <c r="J40" s="330">
        <f>SUM(G40:I40)</f>
        <v>3.55042E-2</v>
      </c>
      <c r="K40" s="312" t="s">
        <v>42</v>
      </c>
      <c r="L40" s="225"/>
      <c r="M40" s="225">
        <f>ROUND(D40*H40,2)</f>
        <v>0</v>
      </c>
      <c r="N40" s="336"/>
      <c r="O40" s="225">
        <f t="shared" si="2"/>
        <v>0</v>
      </c>
      <c r="P40" s="306">
        <f>'Rider Rates'!$D$55</f>
        <v>45929</v>
      </c>
      <c r="R40" s="327"/>
      <c r="S40" s="312"/>
      <c r="T40" s="322"/>
      <c r="V40" s="323"/>
    </row>
    <row r="41" spans="1:22" x14ac:dyDescent="0.2">
      <c r="A41" s="328" t="s">
        <v>337</v>
      </c>
      <c r="D41" s="308">
        <f>IF($C$17&lt;0,0,$C$17)</f>
        <v>0</v>
      </c>
      <c r="E41" s="309" t="s">
        <v>41</v>
      </c>
      <c r="F41" s="310" t="s">
        <v>8</v>
      </c>
      <c r="G41" s="330"/>
      <c r="H41" s="330"/>
      <c r="I41" s="330">
        <f>'Rider Rates'!$B$66</f>
        <v>7.3870000000000001E-4</v>
      </c>
      <c r="J41" s="330">
        <f t="shared" ref="J41" si="3">SUM(G41:I41)</f>
        <v>7.3870000000000001E-4</v>
      </c>
      <c r="K41" s="312" t="s">
        <v>42</v>
      </c>
      <c r="L41" s="225"/>
      <c r="M41" s="225"/>
      <c r="N41" s="225">
        <f>ROUND($D$41*'Rider Rates'!$B$66,2)</f>
        <v>0</v>
      </c>
      <c r="O41" s="225">
        <f t="shared" ref="O41" si="4">SUM(L41:N41)</f>
        <v>0</v>
      </c>
      <c r="P41" s="306">
        <f>'Rider Rates'!$D$66</f>
        <v>45747</v>
      </c>
      <c r="R41" s="327"/>
      <c r="S41" s="312"/>
      <c r="T41" s="322"/>
      <c r="V41" s="323"/>
    </row>
    <row r="42" spans="1:22" x14ac:dyDescent="0.2">
      <c r="A42" s="328" t="s">
        <v>96</v>
      </c>
      <c r="D42" s="308">
        <f>IF('Customer Info'!C34=TRUE,0,IF($C$17&lt;0,0,$C$17))</f>
        <v>0</v>
      </c>
      <c r="E42" s="309" t="s">
        <v>41</v>
      </c>
      <c r="F42" s="310" t="s">
        <v>8</v>
      </c>
      <c r="G42" s="330"/>
      <c r="H42" s="330"/>
      <c r="I42" s="330">
        <f>'Rider Rates'!$B$69+'Rider Rates'!$C$69</f>
        <v>0</v>
      </c>
      <c r="J42" s="330">
        <f t="shared" si="0"/>
        <v>0</v>
      </c>
      <c r="K42" s="312" t="s">
        <v>42</v>
      </c>
      <c r="L42" s="225"/>
      <c r="M42" s="225"/>
      <c r="N42" s="225">
        <f>ROUND($D$42*'Rider Rates'!$B$69,2)+ROUND($D$42*'Rider Rates'!$C$69,2)</f>
        <v>0</v>
      </c>
      <c r="O42" s="225">
        <f t="shared" si="2"/>
        <v>0</v>
      </c>
      <c r="P42" s="306">
        <f>'Rider Rates'!$D$69</f>
        <v>45444</v>
      </c>
      <c r="R42" s="327"/>
      <c r="S42" s="312"/>
      <c r="T42" s="322"/>
      <c r="V42" s="323"/>
    </row>
    <row r="43" spans="1:22" x14ac:dyDescent="0.2">
      <c r="A43" s="328" t="s">
        <v>81</v>
      </c>
      <c r="D43" s="333">
        <f>$N$24</f>
        <v>10</v>
      </c>
      <c r="E43" s="309" t="s">
        <v>122</v>
      </c>
      <c r="F43" s="310" t="s">
        <v>8</v>
      </c>
      <c r="G43" s="337"/>
      <c r="H43" s="301"/>
      <c r="I43" s="338">
        <f>'Rider Rates'!$B$85</f>
        <v>3.5344300000000002E-2</v>
      </c>
      <c r="J43" s="338">
        <f t="shared" si="0"/>
        <v>3.5344300000000002E-2</v>
      </c>
      <c r="K43" s="312"/>
      <c r="L43" s="225"/>
      <c r="M43" s="225"/>
      <c r="N43" s="225">
        <f>ROUND(D43*I43,2)</f>
        <v>0.35</v>
      </c>
      <c r="O43" s="225">
        <f t="shared" si="2"/>
        <v>0.35</v>
      </c>
      <c r="P43" s="306">
        <f>'Rider Rates'!$D$85</f>
        <v>45929</v>
      </c>
      <c r="R43" s="327"/>
      <c r="S43" s="312"/>
      <c r="T43" s="322"/>
      <c r="V43" s="323"/>
    </row>
    <row r="44" spans="1:22" x14ac:dyDescent="0.2">
      <c r="A44" s="328" t="s">
        <v>82</v>
      </c>
      <c r="D44" s="333">
        <f>$N$24</f>
        <v>10</v>
      </c>
      <c r="E44" s="309" t="s">
        <v>122</v>
      </c>
      <c r="F44" s="310" t="s">
        <v>8</v>
      </c>
      <c r="G44" s="339"/>
      <c r="H44" s="301"/>
      <c r="I44" s="338">
        <f>'Rider Rates'!$B$87</f>
        <v>7.8822199999999995E-2</v>
      </c>
      <c r="J44" s="338">
        <f t="shared" si="0"/>
        <v>7.8822199999999995E-2</v>
      </c>
      <c r="K44" s="312"/>
      <c r="L44" s="225"/>
      <c r="M44" s="225"/>
      <c r="N44" s="225">
        <f>ROUND(D44*I44,2)</f>
        <v>0.79</v>
      </c>
      <c r="O44" s="225">
        <f t="shared" si="2"/>
        <v>0.79</v>
      </c>
      <c r="P44" s="306">
        <f>'Rider Rates'!$D$87</f>
        <v>45987</v>
      </c>
      <c r="R44" s="327"/>
      <c r="S44" s="312"/>
      <c r="T44" s="322"/>
      <c r="V44" s="323"/>
    </row>
    <row r="45" spans="1:22" x14ac:dyDescent="0.2">
      <c r="A45" s="297" t="s">
        <v>206</v>
      </c>
      <c r="D45" s="333"/>
      <c r="E45" s="309" t="s">
        <v>115</v>
      </c>
      <c r="F45" s="310"/>
      <c r="G45" s="339"/>
      <c r="H45" s="301"/>
      <c r="I45" s="340">
        <f>'Rider Rates'!$B$90</f>
        <v>2.62</v>
      </c>
      <c r="J45" s="340">
        <f t="shared" si="0"/>
        <v>2.62</v>
      </c>
      <c r="K45" s="312"/>
      <c r="L45" s="225"/>
      <c r="M45" s="225"/>
      <c r="N45" s="225">
        <f>I45</f>
        <v>2.62</v>
      </c>
      <c r="O45" s="225">
        <f t="shared" si="2"/>
        <v>2.62</v>
      </c>
      <c r="P45" s="306">
        <f>'Rider Rates'!$D$90</f>
        <v>46022</v>
      </c>
      <c r="R45" s="327"/>
      <c r="S45" s="312"/>
      <c r="T45" s="322"/>
      <c r="V45" s="323"/>
    </row>
    <row r="46" spans="1:22" x14ac:dyDescent="0.2">
      <c r="A46" s="297" t="s">
        <v>239</v>
      </c>
      <c r="D46" s="308">
        <f>IF($C$17&lt;0,0,$C$17)</f>
        <v>0</v>
      </c>
      <c r="E46" s="309" t="s">
        <v>41</v>
      </c>
      <c r="F46" s="310" t="s">
        <v>8</v>
      </c>
      <c r="G46" s="330"/>
      <c r="H46" s="330"/>
      <c r="I46" s="330"/>
      <c r="J46" s="330">
        <f>'Rider Rates'!$B$94</f>
        <v>0</v>
      </c>
      <c r="K46" s="312" t="s">
        <v>42</v>
      </c>
      <c r="L46" s="225"/>
      <c r="M46" s="225"/>
      <c r="N46" s="225"/>
      <c r="O46" s="225">
        <f>ROUND($D46*('Rider Rates'!B$94),2)</f>
        <v>0</v>
      </c>
      <c r="P46" s="306">
        <f>'Rider Rates'!$D$94</f>
        <v>44531</v>
      </c>
      <c r="Q46" s="310"/>
      <c r="R46" s="327"/>
      <c r="S46" s="312"/>
      <c r="T46" s="322"/>
      <c r="V46" s="323"/>
    </row>
    <row r="47" spans="1:22" x14ac:dyDescent="0.2">
      <c r="A47" s="328" t="s">
        <v>156</v>
      </c>
      <c r="D47" s="333">
        <f>$N$24</f>
        <v>10</v>
      </c>
      <c r="E47" s="309" t="s">
        <v>122</v>
      </c>
      <c r="F47" s="310" t="s">
        <v>8</v>
      </c>
      <c r="G47" s="339"/>
      <c r="H47" s="301"/>
      <c r="I47" s="338">
        <f>'Rider Rates'!$B$105</f>
        <v>0.24079249999999999</v>
      </c>
      <c r="J47" s="338">
        <f t="shared" si="0"/>
        <v>0.24079249999999999</v>
      </c>
      <c r="K47" s="312"/>
      <c r="L47" s="225"/>
      <c r="M47" s="225"/>
      <c r="N47" s="225">
        <f>ROUND(D47*I47,2)</f>
        <v>2.41</v>
      </c>
      <c r="O47" s="225">
        <f t="shared" si="2"/>
        <v>2.41</v>
      </c>
      <c r="P47" s="306">
        <f>'Rider Rates'!$D$105</f>
        <v>45987</v>
      </c>
      <c r="Q47" s="310"/>
      <c r="R47" s="327"/>
      <c r="S47" s="312"/>
      <c r="T47" s="322"/>
      <c r="V47" s="323"/>
    </row>
    <row r="48" spans="1:22" x14ac:dyDescent="0.2">
      <c r="A48" s="297" t="s">
        <v>217</v>
      </c>
      <c r="D48" s="333"/>
      <c r="E48" s="309" t="s">
        <v>115</v>
      </c>
      <c r="F48" s="310"/>
      <c r="G48" s="339"/>
      <c r="H48" s="301"/>
      <c r="I48" s="341">
        <f>'Rider Rates'!B121</f>
        <v>0.2</v>
      </c>
      <c r="J48" s="340">
        <f t="shared" si="0"/>
        <v>0.2</v>
      </c>
      <c r="K48" s="312"/>
      <c r="L48" s="225"/>
      <c r="M48" s="225"/>
      <c r="N48" s="342">
        <f>I48</f>
        <v>0.2</v>
      </c>
      <c r="O48" s="225">
        <f t="shared" si="2"/>
        <v>0.2</v>
      </c>
      <c r="P48" s="306">
        <f>'Rider Rates'!D121</f>
        <v>45958</v>
      </c>
      <c r="Q48" s="310"/>
      <c r="R48" s="327"/>
      <c r="S48" s="312"/>
      <c r="T48" s="322"/>
      <c r="V48" s="323"/>
    </row>
    <row r="49" spans="1:22" x14ac:dyDescent="0.2">
      <c r="A49" s="328" t="s">
        <v>157</v>
      </c>
      <c r="D49" s="308">
        <f>'Customer Info'!$B$21+'Customer Info'!$B$22</f>
        <v>0</v>
      </c>
      <c r="E49" s="309" t="s">
        <v>41</v>
      </c>
      <c r="F49" s="310" t="s">
        <v>8</v>
      </c>
      <c r="G49" s="330"/>
      <c r="H49" s="330"/>
      <c r="I49" s="338"/>
      <c r="J49" s="335">
        <f>SUM(G49:H49)</f>
        <v>0</v>
      </c>
      <c r="K49" s="312" t="s">
        <v>42</v>
      </c>
      <c r="L49" s="225">
        <f>ROUND(D49*G49,2)</f>
        <v>0</v>
      </c>
      <c r="M49" s="225"/>
      <c r="N49" s="225"/>
      <c r="O49" s="225">
        <f t="shared" si="2"/>
        <v>0</v>
      </c>
      <c r="P49" s="306">
        <f>'Rider Rates'!$D$112</f>
        <v>44531</v>
      </c>
      <c r="Q49" s="310"/>
      <c r="R49" s="327"/>
      <c r="S49" s="312"/>
      <c r="T49" s="322"/>
      <c r="V49" s="323"/>
    </row>
    <row r="50" spans="1:22" x14ac:dyDescent="0.2">
      <c r="A50" s="297" t="s">
        <v>208</v>
      </c>
      <c r="D50" s="308">
        <f>IF($C$17&lt;1,0,$C$17)</f>
        <v>0</v>
      </c>
      <c r="E50" s="309" t="s">
        <v>41</v>
      </c>
      <c r="F50" s="303" t="s">
        <v>8</v>
      </c>
      <c r="G50" s="311"/>
      <c r="H50" s="311"/>
      <c r="I50" s="343">
        <f>'Rider Rates'!B117</f>
        <v>0</v>
      </c>
      <c r="J50" s="343">
        <f>SUM(G50:I50)</f>
        <v>0</v>
      </c>
      <c r="K50" s="312" t="s">
        <v>42</v>
      </c>
      <c r="L50" s="225"/>
      <c r="M50" s="225"/>
      <c r="N50" s="225">
        <f>D50*J50</f>
        <v>0</v>
      </c>
      <c r="O50" s="225">
        <f>SUM(L50:N50)</f>
        <v>0</v>
      </c>
      <c r="P50" s="306">
        <f>'Rider Rates'!D117</f>
        <v>45657</v>
      </c>
      <c r="Q50" s="310"/>
      <c r="R50" s="327"/>
      <c r="S50" s="312"/>
      <c r="T50" s="322"/>
      <c r="V50" s="323"/>
    </row>
    <row r="51" spans="1:22" x14ac:dyDescent="0.2">
      <c r="A51" s="279" t="s">
        <v>230</v>
      </c>
      <c r="D51" s="308"/>
      <c r="E51" s="309" t="s">
        <v>115</v>
      </c>
      <c r="F51" s="310" t="s">
        <v>8</v>
      </c>
      <c r="G51" s="344"/>
      <c r="H51" s="344"/>
      <c r="I51" s="344">
        <f>'Rider Rates'!$B$125</f>
        <v>0</v>
      </c>
      <c r="J51" s="344">
        <f>SUM(G51:I51)</f>
        <v>0</v>
      </c>
      <c r="K51" s="312"/>
      <c r="L51" s="345"/>
      <c r="M51" s="345"/>
      <c r="N51" s="345">
        <f>J51</f>
        <v>0</v>
      </c>
      <c r="O51" s="345">
        <f>SUM(L51:N51)</f>
        <v>0</v>
      </c>
      <c r="P51" s="346">
        <f>'Rider Rates'!$E$125</f>
        <v>45883</v>
      </c>
      <c r="Q51" s="310"/>
      <c r="R51" s="327"/>
      <c r="S51" s="312"/>
      <c r="T51" s="322"/>
      <c r="V51" s="323"/>
    </row>
    <row r="52" spans="1:22" x14ac:dyDescent="0.2">
      <c r="A52" s="279" t="s">
        <v>242</v>
      </c>
      <c r="D52" s="308">
        <f>C17</f>
        <v>0</v>
      </c>
      <c r="E52" s="309" t="s">
        <v>41</v>
      </c>
      <c r="F52" s="303" t="s">
        <v>8</v>
      </c>
      <c r="G52" s="330"/>
      <c r="H52" s="330"/>
      <c r="I52" s="330">
        <f>'Rider Rates'!$B$130</f>
        <v>0</v>
      </c>
      <c r="J52" s="335">
        <f>SUM(G52:I52)</f>
        <v>0</v>
      </c>
      <c r="K52" s="312" t="s">
        <v>42</v>
      </c>
      <c r="L52" s="225"/>
      <c r="M52" s="225"/>
      <c r="N52" s="225">
        <f>D52*J52</f>
        <v>0</v>
      </c>
      <c r="O52" s="225">
        <f>SUM(L52:N52)</f>
        <v>0</v>
      </c>
      <c r="P52" s="306">
        <f>'Rider Rates'!D130</f>
        <v>44531</v>
      </c>
      <c r="Q52" s="310"/>
      <c r="R52" s="327"/>
      <c r="S52" s="312"/>
      <c r="T52" s="322"/>
      <c r="V52" s="323"/>
    </row>
    <row r="53" spans="1:22" x14ac:dyDescent="0.2">
      <c r="A53" s="279" t="s">
        <v>241</v>
      </c>
      <c r="D53" s="308"/>
      <c r="E53" s="309" t="s">
        <v>115</v>
      </c>
      <c r="F53" s="310" t="s">
        <v>8</v>
      </c>
      <c r="G53" s="344"/>
      <c r="H53" s="344"/>
      <c r="I53" s="344">
        <f>'Rider Rates'!$B$137</f>
        <v>0</v>
      </c>
      <c r="J53" s="344">
        <f>SUM(G53:I53)</f>
        <v>0</v>
      </c>
      <c r="K53" s="312"/>
      <c r="L53" s="345"/>
      <c r="M53" s="345"/>
      <c r="N53" s="345">
        <f>J53</f>
        <v>0</v>
      </c>
      <c r="O53" s="345">
        <f>SUM(L53:N53)</f>
        <v>0</v>
      </c>
      <c r="P53" s="346">
        <f>'Rider Rates'!$D$133</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SUM(L28:L54)</f>
        <v>0</v>
      </c>
      <c r="M55" s="351">
        <f t="shared" ref="M55:O55" si="5">SUM(M28:M54)</f>
        <v>0</v>
      </c>
      <c r="N55" s="351">
        <f t="shared" si="5"/>
        <v>6.37</v>
      </c>
      <c r="O55" s="351">
        <f t="shared" si="5"/>
        <v>6.37</v>
      </c>
      <c r="P55" s="352"/>
      <c r="Q55" s="310"/>
      <c r="R55" s="315"/>
      <c r="S55" s="315"/>
      <c r="T55" s="353"/>
    </row>
    <row r="56" spans="1:22" x14ac:dyDescent="0.2">
      <c r="D56" s="308"/>
      <c r="E56" s="309"/>
      <c r="F56" s="310"/>
      <c r="G56" s="310"/>
      <c r="H56" s="310"/>
      <c r="I56" s="310"/>
      <c r="J56" s="327"/>
      <c r="K56" s="312"/>
      <c r="L56" s="310"/>
      <c r="M56" s="310"/>
      <c r="N56" s="310"/>
      <c r="O56" s="310"/>
      <c r="P56" s="354"/>
      <c r="Q56" s="310"/>
      <c r="R56" s="315"/>
      <c r="S56" s="315"/>
      <c r="T56" s="353"/>
    </row>
    <row r="57" spans="1:22" x14ac:dyDescent="0.2">
      <c r="A57" s="324"/>
      <c r="B57" s="324"/>
      <c r="C57" s="324"/>
      <c r="D57" s="324"/>
      <c r="E57" s="324"/>
      <c r="F57" s="324"/>
      <c r="G57" s="324"/>
      <c r="H57" s="324"/>
      <c r="I57" s="324"/>
      <c r="J57" s="324"/>
      <c r="K57" s="324"/>
      <c r="L57" s="355">
        <f>L24+L55</f>
        <v>0</v>
      </c>
      <c r="M57" s="355">
        <f>M24+M55</f>
        <v>0</v>
      </c>
      <c r="N57" s="355">
        <f>N24+N55</f>
        <v>16.37</v>
      </c>
      <c r="O57" s="356">
        <f>O24+O55</f>
        <v>16.37</v>
      </c>
      <c r="P57" s="356"/>
      <c r="Q57" s="310"/>
      <c r="R57" s="315"/>
      <c r="S57" s="315"/>
      <c r="T57" s="353"/>
    </row>
    <row r="58" spans="1:22" x14ac:dyDescent="0.2">
      <c r="A58" s="357"/>
      <c r="Q58" s="315"/>
    </row>
    <row r="59" spans="1:22" x14ac:dyDescent="0.2">
      <c r="A59" s="358"/>
      <c r="Q59" s="315"/>
    </row>
    <row r="60" spans="1:22" x14ac:dyDescent="0.2">
      <c r="A60" s="315" t="s">
        <v>93</v>
      </c>
      <c r="D60" s="315"/>
      <c r="O60" s="322">
        <f>IF($C$17&lt;=0,MIN(O21,O57), O21)</f>
        <v>10</v>
      </c>
      <c r="Q60" s="315"/>
    </row>
    <row r="61" spans="1:22" x14ac:dyDescent="0.2">
      <c r="A61" s="358"/>
      <c r="B61" s="315"/>
      <c r="C61" s="315"/>
      <c r="D61" s="315"/>
      <c r="E61" s="315"/>
      <c r="F61" s="315"/>
      <c r="G61" s="315"/>
      <c r="H61" s="315"/>
    </row>
    <row r="62" spans="1:22" x14ac:dyDescent="0.2">
      <c r="A62" s="292" t="s">
        <v>117</v>
      </c>
      <c r="O62" s="359">
        <f>IF($C$17&lt;0,O57,IF(O57&gt;O60,O57,O60))</f>
        <v>16.37</v>
      </c>
      <c r="P62" s="310"/>
    </row>
    <row r="63" spans="1:22" x14ac:dyDescent="0.2">
      <c r="A63" s="358"/>
    </row>
    <row r="64" spans="1:22" x14ac:dyDescent="0.2">
      <c r="A64" s="358"/>
      <c r="I64" s="315" t="s">
        <v>121</v>
      </c>
      <c r="J64" s="315"/>
      <c r="K64" s="315"/>
      <c r="L64" s="360"/>
      <c r="M64" s="360"/>
      <c r="N64" s="360"/>
      <c r="O64" s="360">
        <f>ROUND(IF($C$17&lt;1,0,O57/($C$17*100)*10000),2)</f>
        <v>0</v>
      </c>
      <c r="P64" s="315" t="s">
        <v>87</v>
      </c>
    </row>
    <row r="65" spans="1:16" x14ac:dyDescent="0.2">
      <c r="A65" s="358"/>
      <c r="I65" s="361" t="s">
        <v>190</v>
      </c>
      <c r="O65" s="362">
        <f>ROUND(IF($C$17&lt;1,0,(L57)/($C$17*100)*10000),2)</f>
        <v>0</v>
      </c>
      <c r="P65" s="285" t="s">
        <v>87</v>
      </c>
    </row>
    <row r="66" spans="1:16" x14ac:dyDescent="0.2">
      <c r="A66" s="358"/>
    </row>
    <row r="67" spans="1:16" x14ac:dyDescent="0.2">
      <c r="A67" s="358"/>
    </row>
    <row r="68" spans="1:16" x14ac:dyDescent="0.2">
      <c r="A68" s="358"/>
    </row>
    <row r="69" spans="1:16" x14ac:dyDescent="0.2">
      <c r="A69" s="358"/>
    </row>
    <row r="70" spans="1:16" x14ac:dyDescent="0.2">
      <c r="A70" s="358"/>
    </row>
    <row r="71" spans="1:16" x14ac:dyDescent="0.2">
      <c r="A71" s="358"/>
    </row>
    <row r="72" spans="1:16" x14ac:dyDescent="0.2">
      <c r="A72" s="358"/>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269</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row>
    <row r="6" spans="1:30" x14ac:dyDescent="0.2">
      <c r="A6" s="69">
        <f ca="1">TODAY()</f>
        <v>46051</v>
      </c>
      <c r="B6" s="187" t="s">
        <v>268</v>
      </c>
      <c r="C6" s="69"/>
      <c r="D6" s="69"/>
      <c r="E6" s="69"/>
      <c r="F6" s="69"/>
      <c r="G6" s="69"/>
      <c r="H6" s="69"/>
      <c r="I6" s="69"/>
    </row>
    <row r="7" spans="1:30" ht="26.25" x14ac:dyDescent="0.4">
      <c r="A7" s="436"/>
      <c r="B7" s="436"/>
      <c r="C7" s="436"/>
      <c r="D7" s="436"/>
      <c r="E7" s="436"/>
      <c r="F7" s="436"/>
      <c r="G7" s="436"/>
      <c r="H7" s="436"/>
      <c r="I7" s="436"/>
      <c r="J7" s="436"/>
      <c r="K7" s="436"/>
      <c r="L7" s="436"/>
      <c r="M7" s="436"/>
      <c r="N7" s="436"/>
      <c r="O7" s="436"/>
      <c r="P7" s="436"/>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0" t="s">
        <v>68</v>
      </c>
      <c r="H19" s="421"/>
      <c r="I19" s="421"/>
      <c r="J19" s="422"/>
      <c r="K19" s="20"/>
      <c r="L19" s="423" t="s">
        <v>69</v>
      </c>
      <c r="M19" s="423"/>
      <c r="N19" s="423"/>
      <c r="O19" s="423"/>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f>'Rider Rates'!$D$7</f>
        <v>44531</v>
      </c>
    </row>
    <row r="22" spans="1:221" x14ac:dyDescent="0.2">
      <c r="A22" t="s">
        <v>73</v>
      </c>
      <c r="D22" s="1">
        <f>MAX(MIN($C$15,1000),-1000)</f>
        <v>0</v>
      </c>
      <c r="E22" s="31" t="s">
        <v>41</v>
      </c>
      <c r="F22" s="4" t="s">
        <v>8</v>
      </c>
      <c r="G22" s="76"/>
      <c r="H22" s="76"/>
      <c r="I22" s="76">
        <v>2.05802E-2</v>
      </c>
      <c r="J22" s="76">
        <f>SUM(G22:I22)</f>
        <v>2.05802E-2</v>
      </c>
      <c r="K22" s="32" t="s">
        <v>42</v>
      </c>
      <c r="L22" s="78"/>
      <c r="M22" s="78"/>
      <c r="N22" s="78">
        <f>IF(C15&lt;0,0,ROUND($D22*I22,2))</f>
        <v>0</v>
      </c>
      <c r="O22" s="186">
        <f>SUM(L22:N22)</f>
        <v>0</v>
      </c>
      <c r="P22" s="220">
        <v>45261</v>
      </c>
    </row>
    <row r="23" spans="1:221" x14ac:dyDescent="0.2">
      <c r="A23" t="s">
        <v>74</v>
      </c>
      <c r="D23" s="1">
        <f>IF($C$15&gt;0,MAX($C$15-1000,0),MIN($C$15+1000,0))</f>
        <v>0</v>
      </c>
      <c r="E23" s="31" t="s">
        <v>41</v>
      </c>
      <c r="F23" s="4" t="s">
        <v>8</v>
      </c>
      <c r="G23" s="76"/>
      <c r="H23" s="76"/>
      <c r="I23" s="76">
        <v>2.05802E-2</v>
      </c>
      <c r="J23" s="76">
        <f>SUM(G23:I23)</f>
        <v>2.05802E-2</v>
      </c>
      <c r="K23" s="32" t="s">
        <v>42</v>
      </c>
      <c r="L23" s="78"/>
      <c r="M23" s="78"/>
      <c r="N23" s="78">
        <f>ROUND($D23*I23,2)</f>
        <v>0</v>
      </c>
      <c r="O23" s="78">
        <f>SUM(L23:N23)</f>
        <v>0</v>
      </c>
      <c r="P23" s="220">
        <v>45261</v>
      </c>
    </row>
    <row r="24" spans="1:221" x14ac:dyDescent="0.2">
      <c r="A24" s="33" t="s">
        <v>50</v>
      </c>
      <c r="B24" s="33"/>
      <c r="C24" s="33"/>
      <c r="D24" s="34"/>
      <c r="E24" s="34"/>
      <c r="F24" s="33"/>
      <c r="G24" s="33"/>
      <c r="H24" s="33"/>
      <c r="I24" s="33"/>
      <c r="J24" s="33"/>
      <c r="K24" s="35"/>
      <c r="L24" s="36"/>
      <c r="M24" s="36"/>
      <c r="N24" s="36">
        <f>SUM(N21:N23)</f>
        <v>9.4</v>
      </c>
      <c r="O24" s="36">
        <f>SUM(O21:O23)</f>
        <v>9.4</v>
      </c>
    </row>
    <row r="25" spans="1:221" x14ac:dyDescent="0.2">
      <c r="A25" s="80"/>
      <c r="B25" s="80"/>
      <c r="C25" s="81"/>
      <c r="D25" s="81"/>
      <c r="E25" s="81"/>
      <c r="F25" s="81"/>
      <c r="G25" s="82"/>
      <c r="H25" s="82"/>
      <c r="I25" s="82"/>
      <c r="J25" s="82"/>
      <c r="K25" s="80"/>
      <c r="L25" s="80"/>
      <c r="M25" s="80"/>
      <c r="N25" s="80"/>
      <c r="O25" s="80"/>
      <c r="P25" s="80"/>
    </row>
    <row r="26" spans="1:221" x14ac:dyDescent="0.2">
      <c r="A26" s="130" t="s">
        <v>70</v>
      </c>
      <c r="B26" s="144"/>
      <c r="C26" s="144"/>
      <c r="D26" s="145"/>
      <c r="E26" s="145"/>
      <c r="F26" s="144"/>
      <c r="G26" s="145"/>
      <c r="H26" s="145"/>
      <c r="I26" s="145"/>
      <c r="J26" s="145"/>
      <c r="K26" s="145"/>
      <c r="L26" s="145"/>
      <c r="M26" s="145"/>
      <c r="N26" s="145"/>
      <c r="O26" s="145"/>
      <c r="P26" s="92"/>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70"/>
      <c r="B27" s="70"/>
      <c r="C27" s="70"/>
      <c r="D27" s="70"/>
      <c r="E27" s="70"/>
      <c r="F27" s="70"/>
      <c r="G27" s="70"/>
      <c r="H27" s="70"/>
      <c r="I27" s="70"/>
      <c r="J27" s="70"/>
      <c r="K27" s="70"/>
      <c r="L27" s="70"/>
      <c r="M27" s="70"/>
      <c r="N27" s="70"/>
      <c r="O27" s="70"/>
      <c r="P27" s="4"/>
      <c r="Q27" s="92"/>
      <c r="R27" s="152"/>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79</v>
      </c>
      <c r="B28" s="153"/>
      <c r="C28" s="153"/>
      <c r="D28" s="90">
        <f>IF($C$15&lt;0,0,IF($C$15&gt;833000,833000,$C$15))</f>
        <v>0</v>
      </c>
      <c r="E28" s="91" t="s">
        <v>41</v>
      </c>
      <c r="F28" s="92" t="s">
        <v>8</v>
      </c>
      <c r="G28" s="93"/>
      <c r="H28" s="93"/>
      <c r="I28" s="93">
        <f>'Rider Rates'!$B$4</f>
        <v>5.5215000000000004E-3</v>
      </c>
      <c r="J28" s="93">
        <f t="shared" ref="J28:J43" si="0">SUM(G28:I28)</f>
        <v>5.5215000000000004E-3</v>
      </c>
      <c r="K28" s="94" t="s">
        <v>42</v>
      </c>
      <c r="L28" s="95"/>
      <c r="M28" s="95"/>
      <c r="N28" s="95">
        <f t="shared" ref="N28:N33" si="1">ROUND(D28*I28,2)</f>
        <v>0</v>
      </c>
      <c r="O28" s="95">
        <f t="shared" ref="O28:O43" si="2">SUM(L28:N28)</f>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80</v>
      </c>
      <c r="B29" s="70"/>
      <c r="C29" s="70"/>
      <c r="D29" s="1">
        <f>IF($C$15&gt;833000,$C$15-833000,0)</f>
        <v>0</v>
      </c>
      <c r="E29" s="91" t="s">
        <v>41</v>
      </c>
      <c r="F29" s="92" t="s">
        <v>8</v>
      </c>
      <c r="G29" s="93"/>
      <c r="H29" s="93"/>
      <c r="I29" s="93">
        <f>'Rider Rates'!$B$5</f>
        <v>1.7560000000000001E-4</v>
      </c>
      <c r="J29" s="93">
        <f t="shared" si="0"/>
        <v>1.7560000000000001E-4</v>
      </c>
      <c r="K29" s="94" t="s">
        <v>42</v>
      </c>
      <c r="L29" s="95"/>
      <c r="M29" s="95"/>
      <c r="N29" s="95">
        <f t="shared" si="1"/>
        <v>0</v>
      </c>
      <c r="O29" s="95">
        <f t="shared" si="2"/>
        <v>0</v>
      </c>
      <c r="P29" s="220">
        <f>'Rider Rates'!$D$4</f>
        <v>46022</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97</v>
      </c>
      <c r="B30" s="70"/>
      <c r="C30" s="70"/>
      <c r="D30" s="90">
        <f>IF('Customer Info'!$C$32=TRUE,0,IF($C$15&lt;0,0,IF($C$15&gt;2000,2000,$C$15)))</f>
        <v>0</v>
      </c>
      <c r="E30" s="91" t="s">
        <v>41</v>
      </c>
      <c r="F30" s="92" t="s">
        <v>8</v>
      </c>
      <c r="G30" s="93"/>
      <c r="H30" s="93"/>
      <c r="I30" s="154">
        <f>'Rider Rates'!$B$8</f>
        <v>4.6499999999999996E-3</v>
      </c>
      <c r="J30" s="154">
        <f t="shared" si="0"/>
        <v>4.6499999999999996E-3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98</v>
      </c>
      <c r="B31" s="70"/>
      <c r="C31" s="70"/>
      <c r="D31" s="90">
        <f>IF('Customer Info'!$C$32=TRUE,0,IF($C$15&lt;=2000,0,IF($C$15=0,0,IF($C$15-2000&gt;13000,13000,$C$15-2000))))</f>
        <v>0</v>
      </c>
      <c r="E31" s="91" t="s">
        <v>41</v>
      </c>
      <c r="F31" s="92" t="s">
        <v>8</v>
      </c>
      <c r="G31" s="93"/>
      <c r="H31" s="93"/>
      <c r="I31" s="154">
        <f>'Rider Rates'!$B$9</f>
        <v>4.1900000000000001E-3</v>
      </c>
      <c r="J31" s="154">
        <f t="shared" si="0"/>
        <v>4.1900000000000001E-3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99</v>
      </c>
      <c r="B32" s="70"/>
      <c r="C32" s="70"/>
      <c r="D32" s="90">
        <f>IF('Customer Info'!$C$32=TRUE,0,IF($C$15=0,0,IF($C$15-15000&gt;=0,$C$15-15000,0)))</f>
        <v>0</v>
      </c>
      <c r="E32" s="91" t="s">
        <v>41</v>
      </c>
      <c r="F32" s="92" t="s">
        <v>8</v>
      </c>
      <c r="G32" s="93"/>
      <c r="H32" s="93"/>
      <c r="I32" s="154">
        <f>'Rider Rates'!$B$10</f>
        <v>3.63E-3</v>
      </c>
      <c r="J32" s="154">
        <f t="shared" si="0"/>
        <v>3.63E-3</v>
      </c>
      <c r="K32" s="94" t="s">
        <v>42</v>
      </c>
      <c r="L32" s="95"/>
      <c r="M32" s="95"/>
      <c r="N32" s="95">
        <f t="shared" si="1"/>
        <v>0</v>
      </c>
      <c r="O32" s="95">
        <f t="shared" si="2"/>
        <v>0</v>
      </c>
      <c r="P32" s="220">
        <f>'Rider Rates'!$D$7</f>
        <v>44531</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159</v>
      </c>
      <c r="B33" s="70"/>
      <c r="C33" s="70"/>
      <c r="D33" s="90">
        <f>IF($C$15&lt;0,0,$C$15)</f>
        <v>0</v>
      </c>
      <c r="E33" s="91" t="s">
        <v>41</v>
      </c>
      <c r="F33" s="92" t="s">
        <v>8</v>
      </c>
      <c r="G33" s="93"/>
      <c r="H33" s="93"/>
      <c r="I33" s="93">
        <f>'Rider Rates'!$B$16</f>
        <v>0</v>
      </c>
      <c r="J33" s="93">
        <f>SUM(G33:I33)</f>
        <v>0</v>
      </c>
      <c r="K33" s="94" t="s">
        <v>42</v>
      </c>
      <c r="L33" s="95"/>
      <c r="M33" s="95"/>
      <c r="N33" s="95">
        <f t="shared" si="1"/>
        <v>0</v>
      </c>
      <c r="O33" s="95">
        <f t="shared" si="2"/>
        <v>0</v>
      </c>
      <c r="P33" s="220">
        <f>'Rider Rates'!$D$16</f>
        <v>45322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237</v>
      </c>
      <c r="B34" s="70"/>
      <c r="C34" s="70"/>
      <c r="D34" s="172">
        <f>$N$24</f>
        <v>9.4</v>
      </c>
      <c r="E34" s="91" t="s">
        <v>122</v>
      </c>
      <c r="F34" s="92" t="s">
        <v>8</v>
      </c>
      <c r="G34" s="93"/>
      <c r="H34" s="93"/>
      <c r="I34" s="155">
        <f>'Rider Rates'!$B$18+'Rider Rates'!$E$18</f>
        <v>0</v>
      </c>
      <c r="J34" s="155">
        <f>SUM(G34:I34)</f>
        <v>0</v>
      </c>
      <c r="K34" s="94"/>
      <c r="L34" s="95"/>
      <c r="M34" s="95"/>
      <c r="N34" s="95">
        <f>ROUND($D$34*'Rider Rates'!$B$18,2)+ROUND($D$34*'Rider Rates'!$E$18,2)</f>
        <v>0</v>
      </c>
      <c r="O34" s="95">
        <f t="shared" si="2"/>
        <v>0</v>
      </c>
      <c r="P34" s="220">
        <f>MAX('Rider Rates'!$D$18,'Rider Rates'!$F$18)</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2"/>
        <v>0</v>
      </c>
      <c r="P35" s="220">
        <f>'Rider Rates'!E49</f>
        <v>45883</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2"/>
        <v>0</v>
      </c>
      <c r="P36" s="220">
        <f>'Rider Rates'!$D$56</f>
        <v>45929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Rates'!$B$70+'Rider Rates'!$C$70</f>
        <v>0</v>
      </c>
      <c r="J37" s="93">
        <f t="shared" si="0"/>
        <v>0</v>
      </c>
      <c r="K37" s="94" t="s">
        <v>42</v>
      </c>
      <c r="L37" s="95"/>
      <c r="M37" s="95"/>
      <c r="N37" s="95">
        <f>ROUND($D$37*'Rider Rates'!$B$70,2)+ROUND($D$37*'Rider Rates'!$C$70,2)</f>
        <v>0</v>
      </c>
      <c r="O37" s="95">
        <f t="shared" si="2"/>
        <v>0</v>
      </c>
      <c r="P37" s="220">
        <f>'Rider Rates'!$D$70</f>
        <v>45444</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Rates'!$B$77</f>
        <v>0</v>
      </c>
      <c r="J38" s="173">
        <f>IF('Customer Info'!C34=TRUE,0,SUM(G38:I38))</f>
        <v>0</v>
      </c>
      <c r="K38" s="94"/>
      <c r="L38" s="95"/>
      <c r="M38" s="95"/>
      <c r="N38" s="95">
        <f>J38</f>
        <v>0</v>
      </c>
      <c r="O38" s="95">
        <f>SUM(L38:N38)</f>
        <v>0</v>
      </c>
      <c r="P38" s="220">
        <f>'Rider Rates'!$D$77</f>
        <v>45444</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$N$24</f>
        <v>9.4</v>
      </c>
      <c r="E39" s="91" t="s">
        <v>122</v>
      </c>
      <c r="F39" s="92" t="s">
        <v>8</v>
      </c>
      <c r="G39" s="99"/>
      <c r="H39" s="5"/>
      <c r="I39" s="106">
        <f>'Rider Rates'!$B$85</f>
        <v>3.5344300000000002E-2</v>
      </c>
      <c r="J39" s="106">
        <f t="shared" si="0"/>
        <v>3.5344300000000002E-2</v>
      </c>
      <c r="K39" s="94"/>
      <c r="L39" s="95"/>
      <c r="M39" s="95"/>
      <c r="N39" s="95">
        <f>ROUND(D39*I39,2)</f>
        <v>0.33</v>
      </c>
      <c r="O39" s="95">
        <f t="shared" si="2"/>
        <v>0.33</v>
      </c>
      <c r="P39" s="220">
        <f>'Rider Rates'!$D$85</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$N$24</f>
        <v>9.4</v>
      </c>
      <c r="E40" s="91" t="s">
        <v>122</v>
      </c>
      <c r="F40" s="92" t="s">
        <v>8</v>
      </c>
      <c r="G40" s="100"/>
      <c r="H40" s="101"/>
      <c r="I40" s="106">
        <f>'Rider Rates'!$B$87</f>
        <v>7.8822199999999995E-2</v>
      </c>
      <c r="J40" s="106">
        <f t="shared" si="0"/>
        <v>7.8822199999999995E-2</v>
      </c>
      <c r="K40" s="94"/>
      <c r="L40" s="95"/>
      <c r="M40" s="95"/>
      <c r="N40" s="95">
        <f>ROUND(D40*I40,2)</f>
        <v>0.74</v>
      </c>
      <c r="O40" s="95">
        <f t="shared" si="2"/>
        <v>0.74</v>
      </c>
      <c r="P40" s="220">
        <f>'Rider Rates'!$D$87</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 t="shared" si="2"/>
        <v>21.84</v>
      </c>
      <c r="P41" s="220">
        <f>'Rider Rates'!$D$91</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156</v>
      </c>
      <c r="B42" s="70"/>
      <c r="C42" s="70"/>
      <c r="D42" s="172">
        <f>$N$24</f>
        <v>9.4</v>
      </c>
      <c r="E42" s="91" t="s">
        <v>122</v>
      </c>
      <c r="F42" s="92" t="s">
        <v>8</v>
      </c>
      <c r="G42" s="100"/>
      <c r="H42" s="101"/>
      <c r="I42" s="106">
        <f>'Rider Rates'!$B$105</f>
        <v>0.24079249999999999</v>
      </c>
      <c r="J42" s="106">
        <f t="shared" si="0"/>
        <v>0.24079249999999999</v>
      </c>
      <c r="K42" s="94"/>
      <c r="L42" s="95"/>
      <c r="M42" s="95"/>
      <c r="N42" s="95">
        <f>ROUND(D42*I42,2)</f>
        <v>2.2599999999999998</v>
      </c>
      <c r="O42" s="95">
        <f t="shared" si="2"/>
        <v>2.2599999999999998</v>
      </c>
      <c r="P42" s="220">
        <f>'Rider Rates'!$D$105</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217</v>
      </c>
      <c r="B43" s="70"/>
      <c r="C43" s="70"/>
      <c r="D43" s="172"/>
      <c r="E43" s="91" t="s">
        <v>115</v>
      </c>
      <c r="F43" s="92"/>
      <c r="G43" s="100"/>
      <c r="H43" s="101"/>
      <c r="I43" s="233">
        <f>'Rider Rates'!B122</f>
        <v>0.99</v>
      </c>
      <c r="J43" s="173">
        <f t="shared" si="0"/>
        <v>0.99</v>
      </c>
      <c r="K43" s="94"/>
      <c r="L43" s="95"/>
      <c r="M43" s="95"/>
      <c r="N43" s="235">
        <f>I43</f>
        <v>0.99</v>
      </c>
      <c r="O43" s="95">
        <f t="shared" si="2"/>
        <v>0.99</v>
      </c>
      <c r="P43" s="220">
        <f>'Rider Rates'!D122</f>
        <v>45958</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208</v>
      </c>
      <c r="B44" s="70"/>
      <c r="C44" s="70"/>
      <c r="D44" s="90">
        <f>IF($C$15&lt;1,0,$C$15)</f>
        <v>0</v>
      </c>
      <c r="E44" s="91" t="s">
        <v>41</v>
      </c>
      <c r="F44" s="224" t="s">
        <v>8</v>
      </c>
      <c r="G44" s="143"/>
      <c r="H44" s="143"/>
      <c r="I44" s="226">
        <f>'Rider Rates'!B118</f>
        <v>0</v>
      </c>
      <c r="J44" s="226">
        <f>SUM(G44:I44)</f>
        <v>0</v>
      </c>
      <c r="K44" s="94" t="s">
        <v>42</v>
      </c>
      <c r="L44" s="95"/>
      <c r="M44" s="95"/>
      <c r="N44" s="95">
        <f>D44*J44</f>
        <v>0</v>
      </c>
      <c r="O44" s="95">
        <f>SUM(L44:N44)</f>
        <v>0</v>
      </c>
      <c r="P44" s="220">
        <f>'Rider Rates'!D118</f>
        <v>45657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233</v>
      </c>
      <c r="B45" s="70"/>
      <c r="C45" s="70"/>
      <c r="D45" s="90">
        <f>IF(C15&lt;0,0,IF(C15&gt;833000,833000,C15))</f>
        <v>0</v>
      </c>
      <c r="E45" s="91" t="s">
        <v>41</v>
      </c>
      <c r="F45" s="92" t="s">
        <v>8</v>
      </c>
      <c r="G45" s="240"/>
      <c r="H45" s="240"/>
      <c r="I45" s="240">
        <f>'Rider Rates'!B126</f>
        <v>0</v>
      </c>
      <c r="J45" s="240">
        <f>SUM(G45:I45)</f>
        <v>0</v>
      </c>
      <c r="K45" s="94" t="s">
        <v>42</v>
      </c>
      <c r="L45" s="241"/>
      <c r="M45" s="241"/>
      <c r="N45" s="241">
        <f>IF(D45*J45&gt;'Rider Rates'!$C$126,'Rider Rates'!$C$126,D45*J45)</f>
        <v>0</v>
      </c>
      <c r="O45" s="241">
        <f>SUM(L45:N45)</f>
        <v>0</v>
      </c>
      <c r="P45" s="239">
        <f>'Rider Rates'!$E$126</f>
        <v>45883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234</v>
      </c>
      <c r="B46" s="70"/>
      <c r="C46" s="70"/>
      <c r="D46" s="1">
        <f>IF(C15&gt;833000,C15-833000,0)</f>
        <v>0</v>
      </c>
      <c r="E46" s="91" t="s">
        <v>41</v>
      </c>
      <c r="F46" s="92" t="s">
        <v>8</v>
      </c>
      <c r="G46" s="240"/>
      <c r="H46" s="240"/>
      <c r="I46" s="240">
        <f>'Rider Rates'!B127</f>
        <v>0</v>
      </c>
      <c r="J46" s="240">
        <f>SUM(G46:I46)</f>
        <v>0</v>
      </c>
      <c r="K46" s="94" t="s">
        <v>42</v>
      </c>
      <c r="L46" s="241"/>
      <c r="M46" s="241"/>
      <c r="N46" s="241">
        <f>D46*J46</f>
        <v>0</v>
      </c>
      <c r="O46" s="241">
        <f>SUM(L46:N46)</f>
        <v>0</v>
      </c>
      <c r="P46" s="239">
        <f>'Rider Rates'!$E$127</f>
        <v>45883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70" t="s">
        <v>242</v>
      </c>
      <c r="B47" s="70"/>
      <c r="C47" s="70"/>
      <c r="D47" s="90">
        <f>C15</f>
        <v>0</v>
      </c>
      <c r="E47" s="91" t="s">
        <v>41</v>
      </c>
      <c r="F47" s="224" t="s">
        <v>8</v>
      </c>
      <c r="G47" s="93"/>
      <c r="H47" s="93"/>
      <c r="I47" s="93">
        <f>'Rider Rates'!$B$131</f>
        <v>0</v>
      </c>
      <c r="J47" s="213">
        <f>SUM(G47:I47)</f>
        <v>0</v>
      </c>
      <c r="K47" s="94" t="s">
        <v>42</v>
      </c>
      <c r="L47" s="95"/>
      <c r="M47" s="95"/>
      <c r="N47" s="95">
        <f>D47*J47</f>
        <v>0</v>
      </c>
      <c r="O47" s="95">
        <f>SUM(L47:N47)</f>
        <v>0</v>
      </c>
      <c r="P47" s="220">
        <f>'Rider Rates'!$D$131</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241</v>
      </c>
      <c r="B48" s="70"/>
      <c r="C48" s="70"/>
      <c r="D48" s="90"/>
      <c r="E48" s="91" t="s">
        <v>115</v>
      </c>
      <c r="F48" s="92" t="s">
        <v>8</v>
      </c>
      <c r="G48" s="238"/>
      <c r="H48" s="238"/>
      <c r="I48" s="238">
        <f>'Rider Rates'!$B$138</f>
        <v>0</v>
      </c>
      <c r="J48" s="238">
        <f>SUM(G48:I48)</f>
        <v>0</v>
      </c>
      <c r="K48" s="94"/>
      <c r="L48" s="186"/>
      <c r="M48" s="186"/>
      <c r="N48" s="186">
        <f>J48</f>
        <v>0</v>
      </c>
      <c r="O48" s="186">
        <f>SUM(L48:N48)</f>
        <v>0</v>
      </c>
      <c r="P48" s="239">
        <f>'Rider Rates'!D138</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243</v>
      </c>
      <c r="B49" s="70"/>
      <c r="C49" s="70"/>
      <c r="D49" s="90"/>
      <c r="E49" s="91"/>
      <c r="F49" s="92"/>
      <c r="G49" s="238"/>
      <c r="H49" s="238"/>
      <c r="I49" s="238"/>
      <c r="J49" s="238"/>
      <c r="K49" s="94"/>
      <c r="L49" s="186"/>
      <c r="M49" s="186"/>
      <c r="N49" s="186"/>
      <c r="O49" s="186"/>
      <c r="P49" s="239"/>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156" t="s">
        <v>71</v>
      </c>
      <c r="B50" s="130"/>
      <c r="C50" s="130"/>
      <c r="D50" s="157"/>
      <c r="E50" s="158"/>
      <c r="F50" s="159"/>
      <c r="G50" s="159"/>
      <c r="H50" s="159"/>
      <c r="I50" s="159"/>
      <c r="J50" s="159"/>
      <c r="K50" s="160"/>
      <c r="L50" s="147">
        <f>SUM(L28:L49)</f>
        <v>0</v>
      </c>
      <c r="M50" s="147">
        <f t="shared" ref="M50:O50" si="3">SUM(M28:M49)</f>
        <v>0</v>
      </c>
      <c r="N50" s="147">
        <f t="shared" si="3"/>
        <v>26.16</v>
      </c>
      <c r="O50" s="147">
        <f t="shared" si="3"/>
        <v>26.16</v>
      </c>
      <c r="P50" s="161"/>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c r="B51" s="70"/>
      <c r="C51" s="70"/>
      <c r="D51" s="90"/>
      <c r="E51" s="91"/>
      <c r="F51" s="92"/>
      <c r="G51" s="92"/>
      <c r="H51" s="92"/>
      <c r="I51" s="92"/>
      <c r="J51" s="96"/>
      <c r="K51" s="94"/>
      <c r="L51" s="92"/>
      <c r="M51" s="92"/>
      <c r="N51" s="92"/>
      <c r="O51" s="92"/>
      <c r="P51" s="142"/>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62" t="s">
        <v>94</v>
      </c>
      <c r="B52" s="148"/>
      <c r="C52" s="148"/>
      <c r="D52" s="148"/>
      <c r="E52" s="148"/>
      <c r="F52" s="148"/>
      <c r="G52" s="148"/>
      <c r="H52" s="148"/>
      <c r="I52" s="148"/>
      <c r="J52" s="148"/>
      <c r="K52" s="148"/>
      <c r="L52" s="163">
        <f>L24+L50</f>
        <v>0</v>
      </c>
      <c r="M52" s="163">
        <f>M24+M50</f>
        <v>0</v>
      </c>
      <c r="N52" s="163">
        <f>N24+N50</f>
        <v>35.56</v>
      </c>
      <c r="O52" s="164">
        <f>O24+O50</f>
        <v>35.56</v>
      </c>
      <c r="P52" s="164"/>
      <c r="Q52" s="92"/>
      <c r="R52" s="165"/>
      <c r="S52" s="94"/>
      <c r="T52" s="97"/>
      <c r="U52" s="70"/>
      <c r="V52" s="94"/>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70"/>
      <c r="E53" s="70"/>
      <c r="F53" s="70"/>
      <c r="G53" s="70"/>
      <c r="H53" s="70"/>
      <c r="I53" s="70"/>
      <c r="J53" s="70"/>
      <c r="K53" s="70"/>
      <c r="L53" s="70"/>
      <c r="M53" s="70"/>
      <c r="N53" s="70"/>
      <c r="O53" s="70"/>
      <c r="P53" s="70"/>
      <c r="Q53" s="144"/>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70"/>
      <c r="P54" s="70"/>
      <c r="Q54" s="144"/>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44" t="s">
        <v>93</v>
      </c>
      <c r="B55" s="70"/>
      <c r="C55" s="70"/>
      <c r="D55" s="70"/>
      <c r="E55" s="70"/>
      <c r="F55" s="70"/>
      <c r="G55" s="70"/>
      <c r="H55" s="70"/>
      <c r="I55" s="70"/>
      <c r="J55" s="70"/>
      <c r="K55" s="70"/>
      <c r="L55" s="70"/>
      <c r="M55" s="70"/>
      <c r="N55" s="70"/>
      <c r="O55" s="97">
        <f>O21+O50</f>
        <v>35.56</v>
      </c>
      <c r="P55" s="70"/>
      <c r="Q55" s="144"/>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15</v>
      </c>
      <c r="B56" s="144"/>
      <c r="C56" s="144"/>
      <c r="D56" s="144"/>
      <c r="E56" s="144"/>
      <c r="F56" s="144"/>
      <c r="G56" s="144"/>
      <c r="H56" s="14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30" t="s">
        <v>117</v>
      </c>
      <c r="B57" s="70"/>
      <c r="C57" s="70"/>
      <c r="D57" s="70"/>
      <c r="E57" s="70"/>
      <c r="F57" s="70"/>
      <c r="G57" s="70"/>
      <c r="H57" s="70"/>
      <c r="I57" s="70"/>
      <c r="J57" s="70"/>
      <c r="K57" s="70"/>
      <c r="L57" s="70"/>
      <c r="M57" s="70"/>
      <c r="N57" s="70"/>
      <c r="O57" s="167">
        <f>IF($D$17&lt;0,O52,IF(O52&gt;O55,O52,O55))</f>
        <v>35.56</v>
      </c>
      <c r="P57" s="92"/>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ht="15" customHeight="1" x14ac:dyDescent="0.2">
      <c r="A58" s="130"/>
      <c r="B58" s="70"/>
      <c r="C58" s="70"/>
      <c r="D58" s="70"/>
      <c r="E58" s="70"/>
      <c r="F58" s="70"/>
      <c r="G58" s="70"/>
      <c r="H58" s="70"/>
      <c r="I58" s="70"/>
      <c r="J58" s="70"/>
      <c r="K58" s="70"/>
      <c r="L58" s="70"/>
      <c r="M58" s="70"/>
      <c r="N58" s="70"/>
      <c r="O58" s="167"/>
      <c r="P58" s="92"/>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row>
    <row r="59" spans="1:236" x14ac:dyDescent="0.2">
      <c r="A59" s="130"/>
      <c r="B59" s="144"/>
      <c r="C59" s="144"/>
      <c r="D59" s="144"/>
      <c r="E59" s="144"/>
      <c r="F59" s="144"/>
      <c r="G59" s="144"/>
      <c r="H59" s="144"/>
      <c r="I59" s="144" t="s">
        <v>121</v>
      </c>
      <c r="J59" s="144"/>
      <c r="K59" s="144"/>
      <c r="L59" s="168"/>
      <c r="M59" s="168"/>
      <c r="N59" s="168"/>
      <c r="O59" s="168">
        <f>ROUND(IF($C$15&lt;1,0,O52/($C$15*100)*10000),2)</f>
        <v>0</v>
      </c>
      <c r="P59" s="33" t="s">
        <v>87</v>
      </c>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HE59" s="70"/>
      <c r="HF59" s="70"/>
      <c r="HG59" s="70"/>
      <c r="HH59" s="70"/>
      <c r="HI59" s="70"/>
      <c r="HJ59" s="70"/>
      <c r="HK59" s="70"/>
      <c r="HL59" s="70"/>
      <c r="HM59" s="70"/>
      <c r="HN59" s="70"/>
    </row>
    <row r="60" spans="1:236" x14ac:dyDescent="0.2">
      <c r="B60" s="70"/>
      <c r="C60" s="70"/>
      <c r="D60" s="70"/>
      <c r="E60" s="70"/>
      <c r="F60" s="70"/>
      <c r="G60" s="70"/>
      <c r="H60" s="169"/>
      <c r="I60" s="217" t="s">
        <v>190</v>
      </c>
      <c r="J60" s="70"/>
      <c r="K60" s="70"/>
      <c r="L60" s="70"/>
      <c r="M60" s="70"/>
      <c r="N60" s="70"/>
      <c r="O60" s="218">
        <f>ROUND(IF($C$15&lt;1,0,(L52)/($C$15*100)*10000),2)</f>
        <v>0</v>
      </c>
      <c r="P60" s="23" t="s">
        <v>87</v>
      </c>
      <c r="Q60" s="70"/>
      <c r="R60" s="70"/>
      <c r="S60" s="70"/>
      <c r="T60" s="70"/>
      <c r="U60" s="70"/>
      <c r="V60" s="70"/>
      <c r="W60" s="70"/>
      <c r="X60" s="70"/>
      <c r="Y60" s="70"/>
      <c r="Z60" s="70"/>
      <c r="AA60" s="70"/>
      <c r="AB60" s="70"/>
      <c r="AC60" s="70"/>
      <c r="AD60" s="70"/>
      <c r="AE60" s="70"/>
      <c r="AF60" s="70"/>
      <c r="AG60" s="70"/>
      <c r="AH60" s="70"/>
      <c r="AI60" s="70"/>
      <c r="AJ60" s="70"/>
      <c r="AK60" s="70"/>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84</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row>
    <row r="6" spans="1:30" x14ac:dyDescent="0.2">
      <c r="A6" s="69">
        <f ca="1">TODAY()</f>
        <v>46051</v>
      </c>
      <c r="B6" s="187" t="s">
        <v>229</v>
      </c>
      <c r="C6" s="69"/>
      <c r="D6" s="69"/>
      <c r="E6" s="69"/>
      <c r="F6" s="69"/>
      <c r="G6" s="69"/>
      <c r="H6" s="69"/>
      <c r="I6" s="69"/>
    </row>
    <row r="7" spans="1:30" ht="26.25" x14ac:dyDescent="0.4">
      <c r="A7" s="436"/>
      <c r="B7" s="436"/>
      <c r="C7" s="436"/>
      <c r="D7" s="436"/>
      <c r="E7" s="436"/>
      <c r="F7" s="436"/>
      <c r="G7" s="436"/>
      <c r="H7" s="436"/>
      <c r="I7" s="436"/>
      <c r="J7" s="436"/>
      <c r="K7" s="436"/>
      <c r="L7" s="436"/>
      <c r="M7" s="436"/>
      <c r="N7" s="436"/>
      <c r="O7" s="436"/>
      <c r="P7" s="436"/>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0" t="s">
        <v>68</v>
      </c>
      <c r="H19" s="421"/>
      <c r="I19" s="421"/>
      <c r="J19" s="422"/>
      <c r="K19" s="20"/>
      <c r="L19" s="423" t="s">
        <v>69</v>
      </c>
      <c r="M19" s="423"/>
      <c r="N19" s="423"/>
      <c r="O19" s="423"/>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'GS-PEV OAD'!C16+'GS-PEV OAD'!C17</f>
        <v>0</v>
      </c>
      <c r="E34" s="91" t="s">
        <v>41</v>
      </c>
      <c r="F34" s="92" t="s">
        <v>8</v>
      </c>
      <c r="G34" s="93"/>
      <c r="H34" s="93"/>
      <c r="I34" s="93"/>
      <c r="J34" s="213">
        <f>SUM(G34:H34)</f>
        <v>0</v>
      </c>
      <c r="K34" s="94" t="s">
        <v>42</v>
      </c>
      <c r="L34" s="95"/>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c r="H35" s="93"/>
      <c r="I35" s="93"/>
      <c r="J35" s="213">
        <f>SUM(G35:H35)</f>
        <v>0</v>
      </c>
      <c r="K35" s="94" t="s">
        <v>42</v>
      </c>
      <c r="L35" s="95"/>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c r="H36" s="93"/>
      <c r="I36" s="93"/>
      <c r="J36" s="213">
        <f>SUM(G36:H36)</f>
        <v>0</v>
      </c>
      <c r="K36" s="94" t="s">
        <v>42</v>
      </c>
      <c r="L36" s="95"/>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c r="H37" s="93"/>
      <c r="I37" s="93"/>
      <c r="J37" s="213">
        <f>SUM(G37:H37)</f>
        <v>0</v>
      </c>
      <c r="K37" s="94" t="s">
        <v>42</v>
      </c>
      <c r="L37" s="95"/>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c r="H48" s="93"/>
      <c r="I48" s="106"/>
      <c r="J48" s="213">
        <f>SUM(G48:H48)</f>
        <v>0</v>
      </c>
      <c r="K48" s="94" t="s">
        <v>42</v>
      </c>
      <c r="L48" s="95"/>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288</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290</v>
      </c>
      <c r="C6" s="69"/>
      <c r="D6" s="69"/>
      <c r="E6" s="69"/>
      <c r="F6" s="69"/>
      <c r="G6" s="69"/>
      <c r="H6" s="69"/>
      <c r="I6" s="69"/>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 OAD'!C20,1),ROUND('Customer Info'!$B$19*'GS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 OAD'!C20,'Customer Info'!$B$19*'GS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0.24079249999999999</v>
      </c>
      <c r="J48" s="106">
        <f>SUM(H48:I48)</f>
        <v>0.24079249999999999</v>
      </c>
      <c r="K48" s="94"/>
      <c r="L48" s="95"/>
      <c r="M48" s="95"/>
      <c r="N48" s="95">
        <f>ROUND(N$30*I48,2)</f>
        <v>2.2599999999999998</v>
      </c>
      <c r="O48" s="95">
        <f t="shared" si="0"/>
        <v>2.2599999999999998</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26.16</v>
      </c>
      <c r="O56" s="147">
        <f t="shared" si="3"/>
        <v>26.16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35.56</v>
      </c>
      <c r="O58" s="88">
        <f>O30+O56</f>
        <v>35.56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0" t="s">
        <v>120</v>
      </c>
      <c r="B1" s="410"/>
      <c r="C1" s="410"/>
      <c r="D1" s="410"/>
      <c r="E1" s="410"/>
      <c r="F1" s="410"/>
      <c r="G1" s="410"/>
      <c r="H1" s="410"/>
      <c r="I1" s="410"/>
      <c r="J1" s="410"/>
      <c r="K1" s="410"/>
      <c r="L1" s="410"/>
      <c r="M1" s="410"/>
      <c r="N1" s="410"/>
      <c r="O1" s="410"/>
      <c r="P1" s="410"/>
      <c r="Q1" s="174"/>
    </row>
    <row r="2" spans="1:59" ht="18" customHeight="1" x14ac:dyDescent="0.2">
      <c r="A2" s="419" t="s">
        <v>116</v>
      </c>
      <c r="B2" s="419"/>
      <c r="C2" s="419"/>
      <c r="D2" s="419"/>
      <c r="E2" s="419"/>
      <c r="F2" s="419"/>
      <c r="G2" s="419"/>
      <c r="H2" s="419"/>
      <c r="I2" s="419"/>
      <c r="J2" s="419"/>
      <c r="K2" s="419"/>
      <c r="L2" s="419"/>
      <c r="M2" s="419"/>
      <c r="N2" s="419"/>
      <c r="O2" s="419"/>
      <c r="P2" s="419"/>
    </row>
    <row r="3" spans="1:59" ht="18" x14ac:dyDescent="0.25">
      <c r="A3" s="419"/>
      <c r="B3" s="419"/>
      <c r="C3" s="419"/>
      <c r="D3" s="419"/>
      <c r="E3" s="419"/>
      <c r="F3" s="419"/>
      <c r="G3" s="419"/>
      <c r="H3" s="419"/>
      <c r="I3" s="419"/>
      <c r="J3" s="419"/>
      <c r="K3" s="419"/>
      <c r="L3" s="419"/>
      <c r="M3" s="419"/>
      <c r="N3" s="419"/>
      <c r="O3" s="419"/>
      <c r="P3" s="419"/>
      <c r="Q3" s="175"/>
    </row>
    <row r="4" spans="1:59"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46051</v>
      </c>
      <c r="B6" s="418" t="s">
        <v>235</v>
      </c>
      <c r="C6" s="418"/>
      <c r="D6" s="418"/>
      <c r="E6" s="418"/>
      <c r="F6" s="418"/>
      <c r="G6" s="418"/>
      <c r="H6" s="418"/>
      <c r="I6" s="418"/>
      <c r="J6" s="418"/>
      <c r="K6" s="418"/>
      <c r="L6" s="418"/>
      <c r="M6" s="418"/>
      <c r="N6" s="418"/>
      <c r="O6" s="418"/>
    </row>
    <row r="7" spans="1:59" x14ac:dyDescent="0.2">
      <c r="A7" s="409" t="s">
        <v>15</v>
      </c>
      <c r="B7" s="409"/>
      <c r="C7" s="409"/>
      <c r="D7" s="409"/>
      <c r="E7" s="409"/>
      <c r="F7" s="409"/>
      <c r="G7" s="409"/>
      <c r="H7" s="409"/>
      <c r="I7" s="409"/>
      <c r="J7" s="409"/>
      <c r="K7" s="409"/>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2</v>
      </c>
      <c r="C11" s="171" t="str">
        <f>LOOKUP($B$11,$S$11:$AD$11,S12:AD12)</f>
        <v>February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5" t="s">
        <v>68</v>
      </c>
      <c r="H23" s="416"/>
      <c r="I23" s="416"/>
      <c r="J23" s="417"/>
      <c r="K23" s="139"/>
      <c r="L23" s="412" t="s">
        <v>69</v>
      </c>
      <c r="M23" s="413"/>
      <c r="N23" s="413"/>
      <c r="O23" s="414"/>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50" si="0">SUM(G31:I31)</f>
        <v>5.5215000000000004E-3</v>
      </c>
      <c r="K31" s="94" t="s">
        <v>42</v>
      </c>
      <c r="L31" s="95"/>
      <c r="M31" s="95"/>
      <c r="N31" s="95">
        <f t="shared" ref="N31:N37" si="1">ROUND(D31*I31,2)</f>
        <v>0</v>
      </c>
      <c r="O31" s="225">
        <f t="shared" ref="O31:O53"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ref="O37:O43" si="3">SUM(L37:N37)</f>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3"/>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Info'!$B$22-'Customer Info'!$B$23</f>
        <v>0</v>
      </c>
      <c r="E39" s="91" t="s">
        <v>41</v>
      </c>
      <c r="F39" s="92" t="s">
        <v>8</v>
      </c>
      <c r="G39" s="93">
        <f>'Rider Rates'!$B$21</f>
        <v>7.6880000000000004E-2</v>
      </c>
      <c r="H39" s="93"/>
      <c r="I39" s="93"/>
      <c r="J39" s="213">
        <f>SUM(G39:H39)</f>
        <v>7.6880000000000004E-2</v>
      </c>
      <c r="K39" s="94" t="s">
        <v>42</v>
      </c>
      <c r="L39" s="95">
        <f>ROUND(D39*G39,2)</f>
        <v>0</v>
      </c>
      <c r="M39" s="95"/>
      <c r="N39" s="95"/>
      <c r="O39" s="95">
        <f t="shared" si="3"/>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161</v>
      </c>
      <c r="B40" s="70"/>
      <c r="C40" s="70"/>
      <c r="D40" s="90">
        <f>'Customer Info'!$B$21+'Customer Info'!$B$22-'Customer Info'!$B$23</f>
        <v>0</v>
      </c>
      <c r="E40" s="91" t="s">
        <v>41</v>
      </c>
      <c r="F40" s="92" t="s">
        <v>8</v>
      </c>
      <c r="G40" s="93">
        <f>'Rider Rates'!$B$28</f>
        <v>2.298E-2</v>
      </c>
      <c r="H40" s="93"/>
      <c r="I40" s="93"/>
      <c r="J40" s="213">
        <f>SUM(G40:H40)</f>
        <v>2.298E-2</v>
      </c>
      <c r="K40" s="94" t="s">
        <v>42</v>
      </c>
      <c r="L40" s="215">
        <f>ROUND($D$40*$G$40,2)</f>
        <v>0</v>
      </c>
      <c r="M40" s="95"/>
      <c r="N40" s="95"/>
      <c r="O40" s="95">
        <f>SUM(L40:N40)</f>
        <v>0</v>
      </c>
      <c r="P40" s="220">
        <f>'Rider Rates'!$D$28</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3"/>
        <v>0</v>
      </c>
      <c r="P41" s="220">
        <f>'Rider Rates'!$D$45</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70" t="s">
        <v>210</v>
      </c>
      <c r="B42" s="70"/>
      <c r="C42" s="70"/>
      <c r="D42" s="90"/>
      <c r="E42" s="91" t="s">
        <v>115</v>
      </c>
      <c r="F42" s="92"/>
      <c r="G42" s="93"/>
      <c r="H42" s="93"/>
      <c r="I42" s="93">
        <f>'Rider Rates'!D48</f>
        <v>0</v>
      </c>
      <c r="J42" s="213">
        <f>SUM(G42:I42)</f>
        <v>0</v>
      </c>
      <c r="K42" s="94"/>
      <c r="L42" s="95"/>
      <c r="M42" s="95"/>
      <c r="N42" s="95">
        <f>J42</f>
        <v>0</v>
      </c>
      <c r="O42" s="95">
        <f>SUM(L42:N42)</f>
        <v>0</v>
      </c>
      <c r="P42" s="220">
        <f>'Rider Rates'!E48</f>
        <v>45883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189</v>
      </c>
      <c r="B43" s="70"/>
      <c r="C43" s="70"/>
      <c r="D43" s="90">
        <f>IF($D$17&lt;0,0,$D$17)</f>
        <v>0</v>
      </c>
      <c r="E43" s="91" t="s">
        <v>41</v>
      </c>
      <c r="F43" s="92" t="s">
        <v>8</v>
      </c>
      <c r="G43" s="93"/>
      <c r="H43" s="93">
        <f>'Rider Rates'!$B$55</f>
        <v>3.55042E-2</v>
      </c>
      <c r="I43" s="93"/>
      <c r="J43" s="93">
        <f>SUM(G43:I43)</f>
        <v>3.55042E-2</v>
      </c>
      <c r="K43" s="94" t="s">
        <v>42</v>
      </c>
      <c r="L43" s="95"/>
      <c r="M43" s="95">
        <f>ROUND(D43*H43,2)</f>
        <v>0</v>
      </c>
      <c r="N43" s="182"/>
      <c r="O43" s="95">
        <f t="shared" si="3"/>
        <v>0</v>
      </c>
      <c r="P43" s="220">
        <f>'Rider Rates'!$D$55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337</v>
      </c>
      <c r="B44" s="70"/>
      <c r="C44" s="70"/>
      <c r="D44" s="90">
        <f>IF($D$17&lt;0,0,$D$17)</f>
        <v>0</v>
      </c>
      <c r="E44" s="91" t="s">
        <v>41</v>
      </c>
      <c r="F44" s="92" t="s">
        <v>8</v>
      </c>
      <c r="G44" s="93"/>
      <c r="H44" s="93"/>
      <c r="I44" s="93">
        <f>'Rider Rates'!$B$66</f>
        <v>7.3870000000000001E-4</v>
      </c>
      <c r="J44" s="93">
        <f t="shared" ref="J44" si="4">SUM(G44:I44)</f>
        <v>7.3870000000000001E-4</v>
      </c>
      <c r="K44" s="94" t="s">
        <v>42</v>
      </c>
      <c r="L44" s="95"/>
      <c r="M44" s="95"/>
      <c r="N44" s="95">
        <f>ROUND($D$44*'Rider Rates'!$B$66,2)</f>
        <v>0</v>
      </c>
      <c r="O44" s="225">
        <f>SUM(L44:N44)</f>
        <v>0</v>
      </c>
      <c r="P44" s="220">
        <f>'Rider Rates'!$D$66</f>
        <v>45747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96</v>
      </c>
      <c r="B45" s="70"/>
      <c r="C45" s="70"/>
      <c r="D45" s="90">
        <f>IF('Customer Info'!C34=TRUE,0,IF($D$17&lt;0,0,$D$17))</f>
        <v>0</v>
      </c>
      <c r="E45" s="91" t="s">
        <v>41</v>
      </c>
      <c r="F45" s="92" t="s">
        <v>8</v>
      </c>
      <c r="G45" s="93"/>
      <c r="H45" s="93"/>
      <c r="I45" s="93">
        <f>'Rider Rates'!$B$69+'Rider Rates'!$C$69</f>
        <v>0</v>
      </c>
      <c r="J45" s="93">
        <f t="shared" si="0"/>
        <v>0</v>
      </c>
      <c r="K45" s="94" t="s">
        <v>42</v>
      </c>
      <c r="L45" s="95"/>
      <c r="M45" s="95"/>
      <c r="N45" s="95">
        <f>ROUND($D$45*'Rider Rates'!$B$69,2)+ROUND($D$45*'Rider Rates'!$C$69,2)</f>
        <v>0</v>
      </c>
      <c r="O45" s="225">
        <f t="shared" si="2"/>
        <v>0</v>
      </c>
      <c r="P45" s="220">
        <f>'Rider Rates'!$D$69</f>
        <v>45444</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81</v>
      </c>
      <c r="B46" s="70"/>
      <c r="C46" s="70"/>
      <c r="D46" s="172">
        <f>$N$27</f>
        <v>10</v>
      </c>
      <c r="E46" s="91" t="s">
        <v>122</v>
      </c>
      <c r="F46" s="92" t="s">
        <v>8</v>
      </c>
      <c r="G46" s="99"/>
      <c r="H46" s="5"/>
      <c r="I46" s="106">
        <f>'Rider Rates'!$B$85</f>
        <v>3.5344300000000002E-2</v>
      </c>
      <c r="J46" s="106">
        <f>SUM(G46:I46)</f>
        <v>3.5344300000000002E-2</v>
      </c>
      <c r="K46" s="94"/>
      <c r="L46" s="95"/>
      <c r="M46" s="95"/>
      <c r="N46" s="95">
        <f>ROUND(D46*I46,2)</f>
        <v>0.35</v>
      </c>
      <c r="O46" s="95">
        <f t="shared" si="2"/>
        <v>0.35</v>
      </c>
      <c r="P46" s="220">
        <f>'Rider Rates'!$D$85</f>
        <v>45929</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82</v>
      </c>
      <c r="B47" s="70"/>
      <c r="C47" s="70"/>
      <c r="D47" s="172">
        <f>$N$27</f>
        <v>10</v>
      </c>
      <c r="E47" s="91" t="s">
        <v>122</v>
      </c>
      <c r="F47" s="92" t="s">
        <v>8</v>
      </c>
      <c r="G47" s="100"/>
      <c r="H47" s="101"/>
      <c r="I47" s="106">
        <f>'Rider Rates'!$B$87</f>
        <v>7.8822199999999995E-2</v>
      </c>
      <c r="J47" s="106">
        <f t="shared" si="0"/>
        <v>7.8822199999999995E-2</v>
      </c>
      <c r="K47" s="94"/>
      <c r="L47" s="95"/>
      <c r="M47" s="95"/>
      <c r="N47" s="95">
        <f>ROUND(D47*I47,2)</f>
        <v>0.79</v>
      </c>
      <c r="O47" s="95">
        <f t="shared" si="2"/>
        <v>0.79</v>
      </c>
      <c r="P47" s="220">
        <f>'Rider Rates'!$D$87</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206</v>
      </c>
      <c r="B48" s="70"/>
      <c r="C48" s="70"/>
      <c r="D48" s="172"/>
      <c r="E48" s="91" t="s">
        <v>115</v>
      </c>
      <c r="F48" s="92"/>
      <c r="G48" s="100"/>
      <c r="H48" s="101"/>
      <c r="I48" s="173">
        <f>'Rider Rates'!$B$90</f>
        <v>2.62</v>
      </c>
      <c r="J48" s="173">
        <f>SUM(G48:I48)</f>
        <v>2.62</v>
      </c>
      <c r="K48" s="94"/>
      <c r="L48" s="95"/>
      <c r="M48" s="95"/>
      <c r="N48" s="95">
        <f>I48</f>
        <v>2.62</v>
      </c>
      <c r="O48" s="225">
        <f>SUM(L48:N48)</f>
        <v>2.62</v>
      </c>
      <c r="P48" s="220">
        <f>'Rider Rates'!$D$90</f>
        <v>46022</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239</v>
      </c>
      <c r="B49" s="70"/>
      <c r="C49" s="70"/>
      <c r="D49" s="90">
        <f>IF($D$17&lt;0,0,$D$17)</f>
        <v>0</v>
      </c>
      <c r="E49" s="91" t="s">
        <v>41</v>
      </c>
      <c r="F49" s="92" t="s">
        <v>8</v>
      </c>
      <c r="G49" s="93"/>
      <c r="H49" s="93"/>
      <c r="I49" s="93"/>
      <c r="J49" s="93">
        <f>'Rider Rates'!$B$94</f>
        <v>0</v>
      </c>
      <c r="K49" s="94" t="s">
        <v>42</v>
      </c>
      <c r="L49" s="95"/>
      <c r="M49" s="95"/>
      <c r="N49" s="95"/>
      <c r="O49" s="95">
        <f>ROUND($D49*('Rider Rates'!B$94),2)</f>
        <v>0</v>
      </c>
      <c r="P49" s="220">
        <f>'Rider Rates'!$D$94</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89" t="s">
        <v>156</v>
      </c>
      <c r="B50" s="70"/>
      <c r="C50" s="70"/>
      <c r="D50" s="172">
        <f>$N$27</f>
        <v>10</v>
      </c>
      <c r="E50" s="91" t="s">
        <v>122</v>
      </c>
      <c r="F50" s="92" t="s">
        <v>8</v>
      </c>
      <c r="G50" s="100"/>
      <c r="H50" s="101"/>
      <c r="I50" s="106">
        <f>'Rider Rates'!$B$105</f>
        <v>0.24079249999999999</v>
      </c>
      <c r="J50" s="214">
        <f t="shared" si="0"/>
        <v>0.24079249999999999</v>
      </c>
      <c r="K50" s="94"/>
      <c r="L50" s="95"/>
      <c r="M50" s="95"/>
      <c r="N50" s="95">
        <f>ROUND(D50*I50,2)</f>
        <v>2.41</v>
      </c>
      <c r="O50" s="95">
        <f t="shared" si="2"/>
        <v>2.41</v>
      </c>
      <c r="P50" s="220">
        <f>'Rider Rates'!$D$105</f>
        <v>45987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187" t="s">
        <v>217</v>
      </c>
      <c r="B51" s="70"/>
      <c r="C51" s="70"/>
      <c r="D51" s="172"/>
      <c r="E51" s="91" t="s">
        <v>115</v>
      </c>
      <c r="F51" s="92"/>
      <c r="G51" s="100"/>
      <c r="H51" s="101"/>
      <c r="I51" s="233">
        <f>'Rider Rates'!B121</f>
        <v>0.2</v>
      </c>
      <c r="J51" s="234">
        <f>SUM(G51:I51)</f>
        <v>0.2</v>
      </c>
      <c r="K51" s="94"/>
      <c r="L51" s="95"/>
      <c r="M51" s="95"/>
      <c r="N51" s="235">
        <f>I51</f>
        <v>0.2</v>
      </c>
      <c r="O51" s="95">
        <f>SUM(L51:N51)</f>
        <v>0.2</v>
      </c>
      <c r="P51" s="220">
        <f>'Rider Rates'!D121</f>
        <v>45958</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157</v>
      </c>
      <c r="B52" s="70"/>
      <c r="C52" s="70"/>
      <c r="D52" s="90">
        <f>'Customer Info'!$B$21+'Customer Info'!$B$22-'Customer Info'!$B$23</f>
        <v>0</v>
      </c>
      <c r="E52" s="91" t="s">
        <v>41</v>
      </c>
      <c r="F52" s="92" t="s">
        <v>8</v>
      </c>
      <c r="G52" s="93">
        <f>'Rider Rates'!$B$112</f>
        <v>3.8972999999999998E-3</v>
      </c>
      <c r="H52" s="93"/>
      <c r="I52" s="93"/>
      <c r="J52" s="213">
        <f>SUM(G52:H52)</f>
        <v>3.8972999999999998E-3</v>
      </c>
      <c r="K52" s="94" t="s">
        <v>42</v>
      </c>
      <c r="L52" s="95">
        <f>ROUND(D52*G52,2)</f>
        <v>0</v>
      </c>
      <c r="M52" s="95"/>
      <c r="N52" s="95"/>
      <c r="O52" s="95">
        <f t="shared" si="2"/>
        <v>0</v>
      </c>
      <c r="P52" s="220">
        <f>'Rider Rates'!$D$112</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208</v>
      </c>
      <c r="B53" s="70"/>
      <c r="C53" s="70"/>
      <c r="D53" s="90">
        <f>IF($D$17&lt;1,0,$D$17)</f>
        <v>0</v>
      </c>
      <c r="E53" s="91" t="s">
        <v>41</v>
      </c>
      <c r="F53" s="224" t="s">
        <v>8</v>
      </c>
      <c r="G53" s="93"/>
      <c r="H53" s="93"/>
      <c r="I53" s="93">
        <f>'Rider Rates'!$B$117</f>
        <v>0</v>
      </c>
      <c r="J53" s="213">
        <f>SUM(G53:I53)</f>
        <v>0</v>
      </c>
      <c r="K53" s="94" t="s">
        <v>42</v>
      </c>
      <c r="L53" s="95"/>
      <c r="M53" s="95"/>
      <c r="N53" s="95">
        <f>D53*J53</f>
        <v>0</v>
      </c>
      <c r="O53" s="95">
        <f t="shared" si="2"/>
        <v>0</v>
      </c>
      <c r="P53" s="220">
        <f>'Rider Rates'!D117</f>
        <v>45657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230</v>
      </c>
      <c r="B54" s="70"/>
      <c r="C54" s="70"/>
      <c r="D54" s="90"/>
      <c r="E54" s="91" t="s">
        <v>115</v>
      </c>
      <c r="F54" s="92" t="s">
        <v>8</v>
      </c>
      <c r="G54" s="238"/>
      <c r="H54" s="238"/>
      <c r="I54" s="238">
        <f>'Rider Rates'!$B$125</f>
        <v>0</v>
      </c>
      <c r="J54" s="238">
        <f>SUM(G54:I54)</f>
        <v>0</v>
      </c>
      <c r="K54" s="94"/>
      <c r="L54" s="186"/>
      <c r="M54" s="186"/>
      <c r="N54" s="186">
        <f>J54</f>
        <v>0</v>
      </c>
      <c r="O54" s="186">
        <f>SUM(L54:N54)</f>
        <v>0</v>
      </c>
      <c r="P54" s="239">
        <f>'Rider Rates'!E125</f>
        <v>45883</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242</v>
      </c>
      <c r="B55" s="70"/>
      <c r="C55" s="70"/>
      <c r="D55" s="90">
        <f>D17</f>
        <v>0</v>
      </c>
      <c r="E55" s="91" t="s">
        <v>41</v>
      </c>
      <c r="F55" s="224" t="s">
        <v>8</v>
      </c>
      <c r="G55" s="93"/>
      <c r="H55" s="93"/>
      <c r="I55" s="93">
        <f>'Rider Rates'!B130</f>
        <v>0</v>
      </c>
      <c r="J55" s="213">
        <f>SUM(G55:I55)</f>
        <v>0</v>
      </c>
      <c r="K55" s="94" t="s">
        <v>42</v>
      </c>
      <c r="L55" s="95"/>
      <c r="M55" s="95"/>
      <c r="N55" s="95">
        <f>D55*J55</f>
        <v>0</v>
      </c>
      <c r="O55" s="95">
        <f t="shared" ref="O55" si="5">SUM(L55:N55)</f>
        <v>0</v>
      </c>
      <c r="P55" s="220">
        <f>'Rider Rates'!D130</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241</v>
      </c>
      <c r="B56" s="70"/>
      <c r="C56" s="70"/>
      <c r="D56" s="90"/>
      <c r="E56" s="91" t="s">
        <v>115</v>
      </c>
      <c r="F56" s="92" t="s">
        <v>8</v>
      </c>
      <c r="G56" s="238"/>
      <c r="H56" s="238"/>
      <c r="I56" s="238">
        <f>'Rider Rates'!$B$137</f>
        <v>0</v>
      </c>
      <c r="J56" s="238">
        <f>SUM(G56:I56)</f>
        <v>0</v>
      </c>
      <c r="K56" s="94"/>
      <c r="L56" s="186"/>
      <c r="M56" s="186"/>
      <c r="N56" s="186">
        <f>J56</f>
        <v>0</v>
      </c>
      <c r="O56" s="186">
        <f>SUM(L56:N56)</f>
        <v>0</v>
      </c>
      <c r="P56" s="239">
        <f>'Rider Rates'!D137</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243</v>
      </c>
      <c r="B57" s="70"/>
      <c r="C57" s="70"/>
      <c r="D57" s="90"/>
      <c r="E57" s="91"/>
      <c r="F57" s="92"/>
      <c r="G57" s="238"/>
      <c r="H57" s="238"/>
      <c r="I57" s="238"/>
      <c r="J57" s="238"/>
      <c r="K57" s="94"/>
      <c r="L57" s="186"/>
      <c r="M57" s="186"/>
      <c r="N57" s="186"/>
      <c r="O57" s="186"/>
      <c r="P57" s="239"/>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56" t="s">
        <v>71</v>
      </c>
      <c r="B58" s="130"/>
      <c r="C58" s="130"/>
      <c r="D58" s="157"/>
      <c r="E58" s="158"/>
      <c r="F58" s="159"/>
      <c r="G58" s="159"/>
      <c r="H58" s="159"/>
      <c r="I58" s="159"/>
      <c r="J58" s="159"/>
      <c r="K58" s="160"/>
      <c r="L58" s="147">
        <f>SUM(L31:L57)</f>
        <v>0</v>
      </c>
      <c r="M58" s="147">
        <f t="shared" ref="M58:O58" si="6">SUM(M31:M57)</f>
        <v>0</v>
      </c>
      <c r="N58" s="147">
        <f t="shared" si="6"/>
        <v>6.37</v>
      </c>
      <c r="O58" s="147">
        <f t="shared" si="6"/>
        <v>6.37</v>
      </c>
      <c r="P58" s="161"/>
      <c r="Q58" s="92"/>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c r="B59" s="70"/>
      <c r="C59" s="70"/>
      <c r="D59" s="90"/>
      <c r="E59" s="91"/>
      <c r="F59" s="92"/>
      <c r="G59" s="92"/>
      <c r="H59" s="92"/>
      <c r="I59" s="92"/>
      <c r="J59" s="96"/>
      <c r="K59" s="94"/>
      <c r="L59" s="92"/>
      <c r="M59" s="92"/>
      <c r="N59" s="92"/>
      <c r="O59" s="92"/>
      <c r="P59" s="142"/>
      <c r="Q59" s="92"/>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62" t="s">
        <v>94</v>
      </c>
      <c r="B60" s="148"/>
      <c r="C60" s="148"/>
      <c r="D60" s="148"/>
      <c r="E60" s="148"/>
      <c r="F60" s="148"/>
      <c r="G60" s="148"/>
      <c r="H60" s="148"/>
      <c r="I60" s="148"/>
      <c r="J60" s="148"/>
      <c r="K60" s="148"/>
      <c r="L60" s="163">
        <f>L27+L58</f>
        <v>0</v>
      </c>
      <c r="M60" s="163">
        <f>M27+M58</f>
        <v>0</v>
      </c>
      <c r="N60" s="163">
        <f>N27+N58</f>
        <v>16.37</v>
      </c>
      <c r="O60" s="164">
        <f>O27+O58</f>
        <v>16.37</v>
      </c>
      <c r="P60" s="164"/>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c r="B61" s="70"/>
      <c r="C61" s="70"/>
      <c r="D61" s="70"/>
      <c r="E61" s="70"/>
      <c r="F61" s="70"/>
      <c r="G61" s="70"/>
      <c r="H61" s="70"/>
      <c r="I61" s="70"/>
      <c r="J61" s="70"/>
      <c r="K61" s="70"/>
      <c r="L61" s="70"/>
      <c r="M61" s="70"/>
      <c r="N61" s="70"/>
      <c r="O61" s="70"/>
      <c r="P61" s="70"/>
      <c r="Q61" s="144"/>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144" t="s">
        <v>93</v>
      </c>
      <c r="B63" s="70"/>
      <c r="C63" s="70"/>
      <c r="D63" s="70"/>
      <c r="E63" s="70"/>
      <c r="F63" s="70"/>
      <c r="G63" s="70"/>
      <c r="H63" s="70"/>
      <c r="I63" s="70"/>
      <c r="J63" s="70"/>
      <c r="K63" s="70"/>
      <c r="L63" s="70"/>
      <c r="M63" s="70"/>
      <c r="N63" s="70"/>
      <c r="O63" s="97">
        <f>IF(D17&lt;0,MIN(O25,O60),O25)</f>
        <v>10</v>
      </c>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15</v>
      </c>
      <c r="B64" s="144"/>
      <c r="C64" s="144"/>
      <c r="D64" s="144"/>
      <c r="E64" s="144"/>
      <c r="F64" s="144"/>
      <c r="G64" s="144"/>
      <c r="H64" s="144"/>
      <c r="I64" s="70"/>
      <c r="J64" s="70"/>
      <c r="K64" s="70"/>
      <c r="L64" s="70"/>
      <c r="M64" s="70"/>
      <c r="N64" s="70"/>
      <c r="O64" s="70"/>
      <c r="P64" s="70"/>
      <c r="Q64" s="70"/>
      <c r="R64" s="96"/>
      <c r="S64" s="94"/>
      <c r="T64" s="97"/>
      <c r="U64" s="70"/>
      <c r="V64" s="98"/>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30" t="s">
        <v>117</v>
      </c>
      <c r="B65" s="70"/>
      <c r="C65" s="70"/>
      <c r="D65" s="70"/>
      <c r="E65" s="70"/>
      <c r="F65" s="70"/>
      <c r="G65" s="70"/>
      <c r="H65" s="70"/>
      <c r="I65" s="70"/>
      <c r="J65" s="70"/>
      <c r="K65" s="70"/>
      <c r="L65" s="70"/>
      <c r="M65" s="70"/>
      <c r="N65" s="70"/>
      <c r="O65" s="167">
        <f>IF($D$17&lt;0,O60,IF(O60&gt;O63,O60,O63))</f>
        <v>16.37</v>
      </c>
      <c r="P65" s="92"/>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c r="B66" s="70"/>
      <c r="C66" s="70"/>
      <c r="D66" s="70"/>
      <c r="E66" s="70"/>
      <c r="F66" s="70"/>
      <c r="G66" s="70"/>
      <c r="H66" s="70"/>
      <c r="I66" s="70"/>
      <c r="J66" s="70"/>
      <c r="K66" s="70"/>
      <c r="L66" s="70"/>
      <c r="M66" s="70"/>
      <c r="N66" s="70"/>
      <c r="O66" s="121"/>
      <c r="P66" s="92"/>
      <c r="Q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144"/>
      <c r="C67" s="144"/>
      <c r="D67" s="144"/>
      <c r="E67" s="144"/>
      <c r="F67" s="144"/>
      <c r="G67" s="144"/>
      <c r="H67" s="144"/>
      <c r="I67" s="144" t="s">
        <v>121</v>
      </c>
      <c r="J67" s="144"/>
      <c r="K67" s="144"/>
      <c r="L67" s="168"/>
      <c r="M67" s="168"/>
      <c r="N67" s="168"/>
      <c r="O67" s="168">
        <f>ROUND(IF($D$17&lt;1,0,O60/($D$17*100)*10000),2)</f>
        <v>0</v>
      </c>
      <c r="P67" s="33" t="s">
        <v>87</v>
      </c>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row>
    <row r="68" spans="1:236" x14ac:dyDescent="0.2">
      <c r="A68" s="33"/>
      <c r="B68" s="70"/>
      <c r="C68" s="70"/>
      <c r="D68" s="70"/>
      <c r="E68" s="70"/>
      <c r="F68" s="70"/>
      <c r="G68" s="70"/>
      <c r="H68" s="169"/>
      <c r="I68" s="217" t="s">
        <v>190</v>
      </c>
      <c r="J68" s="70"/>
      <c r="K68" s="70"/>
      <c r="L68" s="70"/>
      <c r="M68" s="70"/>
      <c r="N68" s="70"/>
      <c r="O68" s="218">
        <f>ROUND(IF($D$17&lt;1,0,(L60)/($D$17*100)*10000),2)</f>
        <v>0</v>
      </c>
      <c r="P68" s="23" t="s">
        <v>87</v>
      </c>
      <c r="Q68" s="70"/>
      <c r="AE68" s="70"/>
      <c r="AF68" s="70"/>
      <c r="AG68" s="70"/>
      <c r="AH68" s="70"/>
      <c r="AI68" s="70"/>
      <c r="AJ68" s="70"/>
      <c r="AK68" s="70"/>
      <c r="AL68" s="70"/>
      <c r="AM68" s="70"/>
      <c r="AN68" s="70"/>
      <c r="AO68" s="70"/>
      <c r="AP68" s="70"/>
      <c r="AQ68" s="70"/>
      <c r="AR68" s="70"/>
      <c r="AS68" s="70"/>
      <c r="AT68" s="70"/>
      <c r="HE68" s="70"/>
      <c r="HF68" s="70"/>
      <c r="HG68" s="70"/>
      <c r="HH68" s="70"/>
      <c r="HI68" s="70"/>
      <c r="HJ68" s="70"/>
      <c r="HK68" s="70"/>
      <c r="HL68" s="70"/>
      <c r="HM68" s="70"/>
      <c r="HN68" s="70"/>
    </row>
    <row r="69" spans="1:236" x14ac:dyDescent="0.2">
      <c r="A69" s="89"/>
      <c r="B69" s="70"/>
      <c r="C69" s="70"/>
      <c r="D69" s="90"/>
      <c r="E69" s="91"/>
      <c r="F69" s="92"/>
      <c r="G69" s="116"/>
      <c r="H69" s="43"/>
      <c r="I69" s="116"/>
      <c r="J69" s="23"/>
      <c r="K69" s="23"/>
      <c r="L69" s="117"/>
      <c r="M69" s="117"/>
      <c r="N69" s="117"/>
      <c r="O69" s="118"/>
      <c r="Q69" s="72"/>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row>
    <row r="70" spans="1:236" x14ac:dyDescent="0.2">
      <c r="A70" s="89"/>
      <c r="B70" s="70"/>
      <c r="C70" s="70"/>
      <c r="D70" s="90"/>
      <c r="E70" s="91"/>
      <c r="F70" s="92"/>
      <c r="Q70" s="72"/>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70"/>
      <c r="D71" s="1"/>
      <c r="E71" s="31"/>
      <c r="F71" s="92"/>
      <c r="Q71" s="72"/>
    </row>
    <row r="72" spans="1:236" x14ac:dyDescent="0.2">
      <c r="A72" s="87"/>
      <c r="D72" s="1"/>
      <c r="E72" s="31"/>
      <c r="F72" s="4"/>
      <c r="Q72" s="32"/>
    </row>
    <row r="73" spans="1:236" x14ac:dyDescent="0.2">
      <c r="A73" s="87"/>
      <c r="D73" s="1"/>
      <c r="E73" s="31"/>
      <c r="F73" s="4"/>
      <c r="Q73" s="32"/>
    </row>
    <row r="74" spans="1:236" x14ac:dyDescent="0.2">
      <c r="A74" s="37"/>
      <c r="B74" s="33"/>
      <c r="C74" s="33"/>
      <c r="D74" s="33"/>
      <c r="E74" s="33"/>
      <c r="F74" s="33"/>
    </row>
    <row r="75" spans="1:236" x14ac:dyDescent="0.2">
      <c r="B75" s="33"/>
      <c r="C75" s="33"/>
      <c r="D75" s="33"/>
      <c r="E75" s="33"/>
      <c r="F75" s="33"/>
      <c r="P75" s="33"/>
      <c r="Q75" s="33"/>
    </row>
    <row r="76" spans="1:236" x14ac:dyDescent="0.2">
      <c r="B76" s="33"/>
      <c r="C76" s="33"/>
      <c r="D76" s="33"/>
      <c r="E76" s="33"/>
      <c r="F76" s="33"/>
      <c r="P76" s="23"/>
      <c r="Q76" s="23"/>
    </row>
    <row r="79" spans="1:236" x14ac:dyDescent="0.2">
      <c r="A79" s="408"/>
    </row>
    <row r="80" spans="1:23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289</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291</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 OAD'!C20,'Customer Info'!$B$19*'GS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0.24079249999999999</v>
      </c>
      <c r="J48" s="106">
        <f>SUM(H48:I48)</f>
        <v>0.24079249999999999</v>
      </c>
      <c r="K48" s="94"/>
      <c r="L48" s="95"/>
      <c r="M48" s="95"/>
      <c r="N48" s="95">
        <f>ROUND(N$30*I48,2)</f>
        <v>33.35</v>
      </c>
      <c r="O48" s="95">
        <f t="shared" si="0"/>
        <v>33.35</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71.999999999999986</v>
      </c>
      <c r="O56" s="147">
        <f t="shared" si="3"/>
        <v>71.999999999999986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210.5</v>
      </c>
      <c r="O58" s="88">
        <f>O30+O56</f>
        <v>210.5</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210.5</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210.5</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270</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292</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8" t="s">
        <v>15</v>
      </c>
      <c r="E20" s="438"/>
      <c r="F20" s="438"/>
      <c r="G20" s="438"/>
      <c r="H20" s="438"/>
      <c r="K20" s="27"/>
      <c r="L20" s="27"/>
      <c r="M20" s="27"/>
      <c r="N20" s="27"/>
      <c r="O20" s="45"/>
    </row>
    <row r="21" spans="1:30" x14ac:dyDescent="0.2">
      <c r="A21" s="27" t="s">
        <v>15</v>
      </c>
      <c r="B21" s="27"/>
      <c r="C21" s="74" t="s">
        <v>15</v>
      </c>
      <c r="D21" s="438" t="s">
        <v>15</v>
      </c>
      <c r="E21" s="438"/>
      <c r="F21" s="438"/>
      <c r="G21" s="438"/>
      <c r="H21" s="438"/>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0" t="s">
        <v>68</v>
      </c>
      <c r="H23" s="421"/>
      <c r="I23" s="421"/>
      <c r="J23" s="422"/>
      <c r="K23" s="20"/>
      <c r="L23" s="423" t="s">
        <v>69</v>
      </c>
      <c r="M23" s="423"/>
      <c r="N23" s="423"/>
      <c r="O23" s="423"/>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1"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ROUND(MAX(D14,('Customer Info'!B14-100)*0.6,('Customer Info'!B16-100)*0.6),1)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ref="O42:O47" si="1">SUM(L42:N42)</f>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1"/>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1"/>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0.24079249999999999</v>
      </c>
      <c r="J47" s="106">
        <f>SUM(H47:I47)</f>
        <v>0.24079249999999999</v>
      </c>
      <c r="K47" s="94"/>
      <c r="L47" s="95"/>
      <c r="M47" s="95"/>
      <c r="N47" s="95">
        <f>ROUND(N$29*I47,2)</f>
        <v>198.65</v>
      </c>
      <c r="O47" s="95">
        <f t="shared" si="1"/>
        <v>198.65</v>
      </c>
      <c r="P47" s="220">
        <f>'Rider Rates'!$D$105</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2">SUM(G48:I48)</f>
        <v>0.99</v>
      </c>
      <c r="K48" s="94"/>
      <c r="L48" s="95"/>
      <c r="M48" s="95"/>
      <c r="N48" s="235">
        <f>I48</f>
        <v>0.99</v>
      </c>
      <c r="O48" s="95">
        <f t="shared" ref="O48:O51" si="3">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2"/>
        <v>0</v>
      </c>
      <c r="K49" s="94" t="s">
        <v>42</v>
      </c>
      <c r="L49" s="95"/>
      <c r="M49" s="95"/>
      <c r="N49" s="95">
        <f>D49*I49</f>
        <v>0</v>
      </c>
      <c r="O49" s="95">
        <f t="shared" si="3"/>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2"/>
        <v>0</v>
      </c>
      <c r="K50" s="94" t="s">
        <v>42</v>
      </c>
      <c r="L50" s="241"/>
      <c r="M50" s="241"/>
      <c r="N50" s="241">
        <f>IF(D50*J50&gt;'Rider Rates'!$C$126,'Rider Rates'!$C$126,D50*J50)</f>
        <v>0</v>
      </c>
      <c r="O50" s="241">
        <f t="shared" si="3"/>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2"/>
        <v>0</v>
      </c>
      <c r="K51" s="94" t="s">
        <v>42</v>
      </c>
      <c r="L51" s="241"/>
      <c r="M51" s="241"/>
      <c r="N51" s="241">
        <f>D51*J51</f>
        <v>0</v>
      </c>
      <c r="O51" s="241">
        <f t="shared" si="3"/>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2"/>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2"/>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4">SUM(M33:M54)</f>
        <v>0</v>
      </c>
      <c r="N55" s="147">
        <f t="shared" si="4"/>
        <v>315.67</v>
      </c>
      <c r="O55" s="147">
        <f t="shared" si="4"/>
        <v>315.67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1140.67</v>
      </c>
      <c r="O57" s="88">
        <f>O29+O55</f>
        <v>1140.67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1140.67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1140.67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8"/>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288</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290</v>
      </c>
      <c r="C6" s="69"/>
      <c r="D6" s="69"/>
      <c r="E6" s="69"/>
      <c r="F6" s="69"/>
      <c r="G6" s="69"/>
      <c r="H6" s="69"/>
      <c r="I6" s="69"/>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 OAD'!C20,1),ROUND('Customer Info'!$B$19*'GS DCT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 OAD'!C20,'Customer Info'!$B$19*'GS DCT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0.24079249999999999</v>
      </c>
      <c r="J48" s="106">
        <f>SUM(H48:I48)</f>
        <v>0.24079249999999999</v>
      </c>
      <c r="K48" s="94"/>
      <c r="L48" s="95"/>
      <c r="M48" s="95"/>
      <c r="N48" s="95">
        <f>ROUND(N$30*I48,2)</f>
        <v>2.2599999999999998</v>
      </c>
      <c r="O48" s="95">
        <f t="shared" si="0"/>
        <v>2.2599999999999998</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26.16</v>
      </c>
      <c r="O56" s="147">
        <f t="shared" si="3"/>
        <v>26.16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35.56</v>
      </c>
      <c r="O58" s="88">
        <f>O30+O56</f>
        <v>35.56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sheetData>
  <sheetProtection algorithmName="SHA-512" hashValue="1bZup7p/4p6b83BCXg34i5jQG8RA4Jwh+yHvt8OICRSiw1OvBoVkWq2GiZpnReBrhRuzQWSz7cVF3Fybit3TqQ==" saltValue="cHeVGu97fCW51uGsEgfI7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289</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291</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 OAD'!C20,'Customer Info'!$B$19*'GS DCT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8" t="s">
        <v>15</v>
      </c>
      <c r="E21" s="438"/>
      <c r="F21" s="438"/>
      <c r="G21" s="438"/>
      <c r="H21" s="438"/>
      <c r="K21" s="27"/>
      <c r="L21" s="27"/>
      <c r="M21" s="27"/>
      <c r="N21" s="27"/>
      <c r="O21" s="45"/>
    </row>
    <row r="22" spans="1:30" x14ac:dyDescent="0.2">
      <c r="A22" s="27" t="s">
        <v>15</v>
      </c>
      <c r="B22" s="27"/>
      <c r="C22" s="74" t="s">
        <v>15</v>
      </c>
      <c r="D22" s="438" t="s">
        <v>15</v>
      </c>
      <c r="E22" s="438"/>
      <c r="F22" s="438"/>
      <c r="G22" s="438"/>
      <c r="H22" s="438"/>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0" t="s">
        <v>68</v>
      </c>
      <c r="H24" s="421"/>
      <c r="I24" s="421"/>
      <c r="J24" s="422"/>
      <c r="K24" s="20"/>
      <c r="L24" s="423" t="s">
        <v>69</v>
      </c>
      <c r="M24" s="423"/>
      <c r="N24" s="423"/>
      <c r="O24" s="423"/>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0.24079249999999999</v>
      </c>
      <c r="J48" s="106">
        <f>SUM(H48:I48)</f>
        <v>0.24079249999999999</v>
      </c>
      <c r="K48" s="94"/>
      <c r="L48" s="95"/>
      <c r="M48" s="95"/>
      <c r="N48" s="95">
        <f>ROUND(N$30*I48,2)</f>
        <v>33.35</v>
      </c>
      <c r="O48" s="95">
        <f t="shared" si="0"/>
        <v>33.35</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71.999999999999986</v>
      </c>
      <c r="O56" s="147">
        <f t="shared" si="3"/>
        <v>71.999999999999986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210.5</v>
      </c>
      <c r="O58" s="88">
        <f>O30+O56</f>
        <v>210.5</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210.5</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210.5</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sheetData>
  <sheetProtection algorithmName="SHA-512" hashValue="Cd8jrHyrXmDyxFEUX4TGXi6TO0WHuMQ8FNgc3Bs04hHa2S606UyN9MYAqZEpIKD4fP5/7g8VevxUY/EsFh4+0w==" saltValue="4Xw4G2A8btXBGpEWQyNcl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5" t="s">
        <v>120</v>
      </c>
      <c r="B1" s="425"/>
      <c r="C1" s="425"/>
      <c r="D1" s="425"/>
      <c r="E1" s="425"/>
      <c r="F1" s="425"/>
      <c r="G1" s="425"/>
      <c r="H1" s="425"/>
      <c r="I1" s="425"/>
      <c r="J1" s="425"/>
      <c r="K1" s="425"/>
      <c r="L1" s="425"/>
      <c r="M1" s="425"/>
      <c r="N1" s="425"/>
      <c r="O1" s="425"/>
      <c r="P1" s="425"/>
    </row>
    <row r="2" spans="1:256" ht="20.25" x14ac:dyDescent="0.3">
      <c r="A2" s="410" t="s">
        <v>277</v>
      </c>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row>
    <row r="3" spans="1:256" ht="18" x14ac:dyDescent="0.25">
      <c r="A3" s="426" t="s">
        <v>270</v>
      </c>
      <c r="B3" s="426"/>
      <c r="C3" s="426"/>
      <c r="D3" s="426"/>
      <c r="E3" s="426"/>
      <c r="F3" s="426"/>
      <c r="G3" s="426"/>
      <c r="H3" s="426"/>
      <c r="I3" s="426"/>
      <c r="J3" s="426"/>
      <c r="K3" s="426"/>
      <c r="L3" s="426"/>
      <c r="M3" s="426"/>
      <c r="N3" s="426"/>
      <c r="O3" s="426"/>
      <c r="P3" s="426"/>
    </row>
    <row r="4" spans="1:256"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256" ht="15" x14ac:dyDescent="0.2">
      <c r="A5" s="68"/>
      <c r="B5" s="68"/>
      <c r="C5" s="68"/>
      <c r="D5" s="68"/>
      <c r="E5" s="68"/>
      <c r="F5" s="68"/>
      <c r="G5" s="68"/>
      <c r="H5" s="68"/>
      <c r="I5" s="68"/>
      <c r="J5" s="68"/>
      <c r="K5" s="68"/>
    </row>
    <row r="6" spans="1:256" x14ac:dyDescent="0.2">
      <c r="A6" s="69">
        <f ca="1">TODAY()</f>
        <v>46051</v>
      </c>
      <c r="B6" s="89" t="s">
        <v>292</v>
      </c>
      <c r="C6" s="244"/>
      <c r="D6" s="244"/>
      <c r="E6" s="244"/>
      <c r="F6" s="244"/>
      <c r="G6" s="244"/>
      <c r="H6" s="244"/>
      <c r="I6" s="244"/>
      <c r="J6" s="244"/>
      <c r="K6" s="244"/>
    </row>
    <row r="7" spans="1:256" ht="26.25" x14ac:dyDescent="0.4">
      <c r="A7" s="436"/>
      <c r="B7" s="436"/>
      <c r="C7" s="436"/>
      <c r="D7" s="436"/>
      <c r="E7" s="436"/>
      <c r="F7" s="436"/>
      <c r="G7" s="436"/>
      <c r="H7" s="436"/>
      <c r="I7" s="436"/>
      <c r="J7" s="436"/>
      <c r="K7" s="436"/>
      <c r="L7" s="436"/>
      <c r="M7" s="436"/>
      <c r="N7" s="436"/>
      <c r="O7" s="436"/>
      <c r="P7" s="436"/>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2</v>
      </c>
      <c r="C10" s="171" t="str">
        <f>LOOKUP(B10,R10:AD10,R11:AD11)</f>
        <v>February</v>
      </c>
      <c r="D10" s="116">
        <f>'Customer Info'!C9</f>
        <v>2026</v>
      </c>
      <c r="S10">
        <v>1</v>
      </c>
      <c r="T10">
        <v>2</v>
      </c>
      <c r="U10">
        <v>3</v>
      </c>
      <c r="V10">
        <v>4</v>
      </c>
      <c r="W10">
        <v>5</v>
      </c>
      <c r="X10">
        <v>6</v>
      </c>
      <c r="Y10">
        <v>7</v>
      </c>
      <c r="Z10">
        <v>8</v>
      </c>
      <c r="AA10">
        <v>9</v>
      </c>
      <c r="AB10">
        <v>10</v>
      </c>
      <c r="AC10">
        <v>11</v>
      </c>
      <c r="AD10">
        <v>12</v>
      </c>
    </row>
    <row r="11" spans="1:256" ht="15" customHeight="1" x14ac:dyDescent="0.2">
      <c r="A11" s="424"/>
      <c r="B11" s="424"/>
      <c r="C11" s="424"/>
      <c r="D11" s="424"/>
      <c r="E11" s="424"/>
      <c r="F11" s="424"/>
      <c r="G11" s="424"/>
      <c r="H11" s="424"/>
      <c r="I11" s="424"/>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8" t="s">
        <v>15</v>
      </c>
      <c r="E20" s="438"/>
      <c r="F20" s="438"/>
      <c r="G20" s="438"/>
      <c r="H20" s="438"/>
      <c r="K20" s="27"/>
      <c r="L20" s="27"/>
      <c r="M20" s="27"/>
      <c r="N20" s="27"/>
      <c r="O20" s="45"/>
    </row>
    <row r="21" spans="1:30" x14ac:dyDescent="0.2">
      <c r="A21" s="27" t="s">
        <v>15</v>
      </c>
      <c r="B21" s="27"/>
      <c r="C21" s="74" t="s">
        <v>15</v>
      </c>
      <c r="D21" s="438" t="s">
        <v>15</v>
      </c>
      <c r="E21" s="438"/>
      <c r="F21" s="438"/>
      <c r="G21" s="438"/>
      <c r="H21" s="438"/>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0" t="s">
        <v>68</v>
      </c>
      <c r="H23" s="421"/>
      <c r="I23" s="421"/>
      <c r="J23" s="422"/>
      <c r="K23" s="20"/>
      <c r="L23" s="423" t="s">
        <v>69</v>
      </c>
      <c r="M23" s="423"/>
      <c r="N23" s="423"/>
      <c r="O23" s="423"/>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Info'!B14&lt;25001,0,IF('Customer Info'!B14&lt;75001,15000+(('Customer Info'!B14-25000)*0.85),IF('Customer Info'!B14&lt;75000,0,IF(((57500+('Customer Info'!B14-75000))/'Customer Info'!B14)&gt;85%,'Customer Info'!B14*85%,57500+('Customer Info'!B14-75000))))),('Customer Info'!B16)*0.85),1)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7"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ROUND(MAX(D14,IF('Customer Info'!B14&lt;25001,0,IF('Customer Info'!B14&lt;75001,15000+(('Customer Info'!B14-25000)*0.85),IF('Customer Info'!B14&lt;75000,0,IF(((57500+('Customer Info'!B14-75000))/'Customer Info'!B14)&gt;85%,'Customer Info'!B14*85%,575000+('Customer Info'!B14-75000))))),('Customer Info'!B16)*0.85),1)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si="0"/>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0"/>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0"/>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0.24079249999999999</v>
      </c>
      <c r="J47" s="106">
        <f>SUM(H47:I47)</f>
        <v>0.24079249999999999</v>
      </c>
      <c r="K47" s="94"/>
      <c r="L47" s="95"/>
      <c r="M47" s="95"/>
      <c r="N47" s="95">
        <f>ROUND(N$29*I47,2)</f>
        <v>198.65</v>
      </c>
      <c r="O47" s="95">
        <f t="shared" si="0"/>
        <v>198.65</v>
      </c>
      <c r="P47" s="220">
        <f>'Rider Rates'!$D$105</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1">SUM(G48:I48)</f>
        <v>0.99</v>
      </c>
      <c r="K48" s="94"/>
      <c r="L48" s="95"/>
      <c r="M48" s="95"/>
      <c r="N48" s="235">
        <f>I48</f>
        <v>0.99</v>
      </c>
      <c r="O48" s="95">
        <f t="shared" ref="O48:O51" si="2">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1"/>
        <v>0</v>
      </c>
      <c r="K49" s="94" t="s">
        <v>42</v>
      </c>
      <c r="L49" s="95"/>
      <c r="M49" s="95"/>
      <c r="N49" s="95">
        <f>D49*I49</f>
        <v>0</v>
      </c>
      <c r="O49" s="95">
        <f t="shared" si="2"/>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1"/>
        <v>0</v>
      </c>
      <c r="K50" s="94" t="s">
        <v>42</v>
      </c>
      <c r="L50" s="241"/>
      <c r="M50" s="241"/>
      <c r="N50" s="241">
        <f>IF(D50*J50&gt;'Rider Rates'!$C$126,'Rider Rates'!$C$126,D50*J50)</f>
        <v>0</v>
      </c>
      <c r="O50" s="241">
        <f t="shared" si="2"/>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1"/>
        <v>0</v>
      </c>
      <c r="K51" s="94" t="s">
        <v>42</v>
      </c>
      <c r="L51" s="241"/>
      <c r="M51" s="241"/>
      <c r="N51" s="241">
        <f>D51*J51</f>
        <v>0</v>
      </c>
      <c r="O51" s="241">
        <f t="shared" si="2"/>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1"/>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1"/>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3">SUM(M33:M54)</f>
        <v>0</v>
      </c>
      <c r="N55" s="147">
        <f t="shared" si="3"/>
        <v>315.67</v>
      </c>
      <c r="O55" s="147">
        <f t="shared" si="3"/>
        <v>315.67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1140.67</v>
      </c>
      <c r="O57" s="88">
        <f>O29+O55</f>
        <v>1140.67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1140.67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1140.67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8"/>
    </row>
    <row r="74" spans="1:16" x14ac:dyDescent="0.2">
      <c r="A74" s="408"/>
    </row>
    <row r="75" spans="1:16" x14ac:dyDescent="0.2">
      <c r="A75" s="408"/>
    </row>
    <row r="76" spans="1:16" x14ac:dyDescent="0.2">
      <c r="A76" s="408"/>
    </row>
    <row r="77" spans="1:16" x14ac:dyDescent="0.2">
      <c r="A77" s="408"/>
    </row>
    <row r="78" spans="1:16" x14ac:dyDescent="0.2">
      <c r="A78" s="408"/>
    </row>
    <row r="79" spans="1:16" x14ac:dyDescent="0.2">
      <c r="A79" s="408"/>
    </row>
    <row r="80" spans="1:1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sheetData>
  <sheetProtection algorithmName="SHA-512" hashValue="C0BF9XFYnk+egRnbe2Jnw2KJ73ncZhosCy3gytergH8u65Njz6jxpaEv4JSdPKUkCi3p3bLgdWLfm9EjWyEwqw==" saltValue="L7CzQGpBJuoYqqs1qWpJG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323</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324</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ht="14.45" customHeight="1"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Rates'!B144</f>
        <v>9.4</v>
      </c>
      <c r="J21" s="345">
        <f>SUM(G21:I21)</f>
        <v>9.4</v>
      </c>
      <c r="L21" s="367"/>
      <c r="M21" s="367"/>
      <c r="N21" s="367">
        <f>I21</f>
        <v>9.4</v>
      </c>
      <c r="O21" s="345">
        <f>SUM(L21:N21)</f>
        <v>9.4</v>
      </c>
      <c r="P21" s="306">
        <v>44531</v>
      </c>
    </row>
    <row r="22" spans="1:22" x14ac:dyDescent="0.2">
      <c r="A22" s="328" t="s">
        <v>132</v>
      </c>
      <c r="D22" s="308">
        <f>C15</f>
        <v>0</v>
      </c>
      <c r="E22" s="309" t="s">
        <v>41</v>
      </c>
      <c r="F22" s="310" t="s">
        <v>8</v>
      </c>
      <c r="G22" s="344"/>
      <c r="H22" s="344"/>
      <c r="I22" s="344">
        <f>'Rider Rates'!C144</f>
        <v>2.0634799999999998E-2</v>
      </c>
      <c r="J22" s="344">
        <f>SUM(G22:I22)</f>
        <v>2.0634799999999998E-2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9.4</v>
      </c>
      <c r="O23" s="317">
        <f>SUM(O21:O22)</f>
        <v>9.4</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9.4</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90">
        <f>'Customer Info'!$B$21+'Customer Info'!$B$22-'Customer Info'!$B$23</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C17</f>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53">
        <f>$N$23</f>
        <v>9.4</v>
      </c>
      <c r="E42" s="309" t="s">
        <v>122</v>
      </c>
      <c r="F42" s="310" t="s">
        <v>8</v>
      </c>
      <c r="G42" s="337"/>
      <c r="H42" s="301"/>
      <c r="I42" s="338">
        <f>'Rider Rates'!$B$85</f>
        <v>3.5344300000000002E-2</v>
      </c>
      <c r="J42" s="338">
        <f t="shared" si="0"/>
        <v>3.5344300000000002E-2</v>
      </c>
      <c r="K42" s="312"/>
      <c r="L42" s="225"/>
      <c r="M42" s="225"/>
      <c r="N42" s="225">
        <f>ROUND(D42*I42,2)</f>
        <v>0.33</v>
      </c>
      <c r="O42" s="225">
        <f t="shared" si="2"/>
        <v>0.33</v>
      </c>
      <c r="P42" s="306">
        <f>'Rider Rates'!$D$85</f>
        <v>45929</v>
      </c>
      <c r="Q42" s="310"/>
      <c r="R42" s="327"/>
      <c r="S42" s="312"/>
      <c r="T42" s="322"/>
      <c r="V42" s="323"/>
    </row>
    <row r="43" spans="1:22" x14ac:dyDescent="0.2">
      <c r="A43" s="328" t="s">
        <v>82</v>
      </c>
      <c r="D43" s="333">
        <f>$N$23</f>
        <v>9.4</v>
      </c>
      <c r="E43" s="309" t="s">
        <v>122</v>
      </c>
      <c r="F43" s="310" t="s">
        <v>8</v>
      </c>
      <c r="G43" s="339"/>
      <c r="H43" s="301"/>
      <c r="I43" s="338">
        <f>'Rider Rates'!$B$87</f>
        <v>7.8822199999999995E-2</v>
      </c>
      <c r="J43" s="338">
        <f t="shared" si="0"/>
        <v>7.8822199999999995E-2</v>
      </c>
      <c r="K43" s="312"/>
      <c r="L43" s="225"/>
      <c r="M43" s="225"/>
      <c r="N43" s="225">
        <f>ROUND(D43*I43,2)</f>
        <v>0.74</v>
      </c>
      <c r="O43" s="225">
        <f t="shared" si="2"/>
        <v>0.74</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9.4</v>
      </c>
      <c r="E46" s="309" t="s">
        <v>122</v>
      </c>
      <c r="F46" s="310" t="s">
        <v>8</v>
      </c>
      <c r="G46" s="339"/>
      <c r="H46" s="301"/>
      <c r="I46" s="338">
        <f>'Rider Rates'!$B$105</f>
        <v>0.24079249999999999</v>
      </c>
      <c r="J46" s="338">
        <f t="shared" si="0"/>
        <v>0.24079249999999999</v>
      </c>
      <c r="K46" s="312"/>
      <c r="L46" s="225"/>
      <c r="M46" s="225"/>
      <c r="N46" s="225">
        <f>ROUND(D46*I46,2)</f>
        <v>2.2599999999999998</v>
      </c>
      <c r="O46" s="225">
        <f t="shared" si="2"/>
        <v>2.2599999999999998</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3">SUM(M27:M54)</f>
        <v>0</v>
      </c>
      <c r="N55" s="351">
        <f t="shared" si="3"/>
        <v>26.16</v>
      </c>
      <c r="O55" s="351">
        <f t="shared" si="3"/>
        <v>26.16</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35.56</v>
      </c>
      <c r="O57" s="356">
        <f>O23+O55</f>
        <v>35.56</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35.56</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35.56</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327</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325</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Rates'!B145</f>
        <v>138.5</v>
      </c>
      <c r="J21" s="345">
        <f>SUM(G21:I21)</f>
        <v>138.5</v>
      </c>
      <c r="L21" s="367"/>
      <c r="M21" s="367"/>
      <c r="N21" s="367">
        <f>I21</f>
        <v>138.5</v>
      </c>
      <c r="O21" s="345">
        <f>SUM(L21:N21)</f>
        <v>138.5</v>
      </c>
      <c r="P21" s="306">
        <v>44531</v>
      </c>
    </row>
    <row r="22" spans="1:22" x14ac:dyDescent="0.2">
      <c r="A22" s="328" t="s">
        <v>132</v>
      </c>
      <c r="D22" s="308">
        <f>C15</f>
        <v>0</v>
      </c>
      <c r="E22" s="309" t="s">
        <v>41</v>
      </c>
      <c r="F22" s="310" t="s">
        <v>8</v>
      </c>
      <c r="G22" s="344"/>
      <c r="H22" s="344"/>
      <c r="I22" s="376">
        <f>'Rider Rates'!C145</f>
        <v>1.3832199999999999E-2</v>
      </c>
      <c r="J22" s="344">
        <f>SUM(G22:I22)</f>
        <v>1.3832199999999999E-2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138.5</v>
      </c>
      <c r="O23" s="317">
        <f>SUM(O21:O22)</f>
        <v>138.5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138.5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138.5</v>
      </c>
      <c r="E42" s="309" t="s">
        <v>122</v>
      </c>
      <c r="F42" s="310" t="s">
        <v>8</v>
      </c>
      <c r="G42" s="337"/>
      <c r="H42" s="301"/>
      <c r="I42" s="338">
        <f>'Rider Rates'!$B$85</f>
        <v>3.5344300000000002E-2</v>
      </c>
      <c r="J42" s="338">
        <f t="shared" si="0"/>
        <v>3.5344300000000002E-2</v>
      </c>
      <c r="K42" s="312"/>
      <c r="L42" s="225"/>
      <c r="M42" s="225"/>
      <c r="N42" s="225">
        <f>ROUND(D42*I42,2)</f>
        <v>4.9000000000000004</v>
      </c>
      <c r="O42" s="225">
        <f t="shared" si="2"/>
        <v>4.9000000000000004</v>
      </c>
      <c r="P42" s="306">
        <f>'Rider Rates'!$D$85</f>
        <v>45929</v>
      </c>
      <c r="Q42" s="310"/>
      <c r="R42" s="327"/>
      <c r="S42" s="312"/>
      <c r="T42" s="322"/>
      <c r="V42" s="323"/>
    </row>
    <row r="43" spans="1:22" x14ac:dyDescent="0.2">
      <c r="A43" s="328" t="s">
        <v>82</v>
      </c>
      <c r="D43" s="333">
        <f>$N$23</f>
        <v>138.5</v>
      </c>
      <c r="E43" s="309" t="s">
        <v>122</v>
      </c>
      <c r="F43" s="310" t="s">
        <v>8</v>
      </c>
      <c r="G43" s="339"/>
      <c r="H43" s="301"/>
      <c r="I43" s="338">
        <f>'Rider Rates'!$B$87</f>
        <v>7.8822199999999995E-2</v>
      </c>
      <c r="J43" s="338">
        <f t="shared" si="0"/>
        <v>7.8822199999999995E-2</v>
      </c>
      <c r="K43" s="312"/>
      <c r="L43" s="225"/>
      <c r="M43" s="225"/>
      <c r="N43" s="225">
        <f>ROUND(D43*I43,2)</f>
        <v>10.92</v>
      </c>
      <c r="O43" s="225">
        <f t="shared" si="2"/>
        <v>10.92</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138.5</v>
      </c>
      <c r="E46" s="309" t="s">
        <v>122</v>
      </c>
      <c r="F46" s="310" t="s">
        <v>8</v>
      </c>
      <c r="G46" s="339"/>
      <c r="H46" s="301"/>
      <c r="I46" s="338">
        <f>'Rider Rates'!$B$105</f>
        <v>0.24079249999999999</v>
      </c>
      <c r="J46" s="338">
        <f t="shared" si="0"/>
        <v>0.24079249999999999</v>
      </c>
      <c r="K46" s="312"/>
      <c r="L46" s="225"/>
      <c r="M46" s="225"/>
      <c r="N46" s="225">
        <f>ROUND(D46*I46,2)</f>
        <v>33.35</v>
      </c>
      <c r="O46" s="225">
        <f t="shared" si="2"/>
        <v>33.35</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71.999999999999986</v>
      </c>
      <c r="O55" s="351">
        <f t="shared" si="4"/>
        <v>71.999999999999986</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210.5</v>
      </c>
      <c r="O57" s="356">
        <f>O23+O55</f>
        <v>210.5</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210.5</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210.5</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326</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row>
    <row r="6" spans="1:30" x14ac:dyDescent="0.2">
      <c r="A6" s="281">
        <f ca="1">TODAY()</f>
        <v>46051</v>
      </c>
      <c r="B6" s="328" t="s">
        <v>328</v>
      </c>
      <c r="C6" s="281"/>
      <c r="D6" s="281"/>
      <c r="E6" s="281"/>
      <c r="F6" s="281"/>
      <c r="G6" s="281"/>
      <c r="H6" s="281"/>
      <c r="I6" s="281"/>
    </row>
    <row r="7" spans="1:30" ht="26.25" x14ac:dyDescent="0.4">
      <c r="A7" s="439"/>
      <c r="B7" s="439"/>
      <c r="C7" s="439"/>
      <c r="D7" s="439"/>
      <c r="E7" s="439"/>
      <c r="F7" s="439"/>
      <c r="G7" s="439"/>
      <c r="H7" s="439"/>
      <c r="I7" s="439"/>
      <c r="J7" s="439"/>
      <c r="K7" s="439"/>
      <c r="L7" s="439"/>
      <c r="M7" s="439"/>
      <c r="N7" s="439"/>
      <c r="O7" s="439"/>
      <c r="P7" s="439"/>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7" t="s">
        <v>68</v>
      </c>
      <c r="H19" s="428"/>
      <c r="I19" s="428"/>
      <c r="J19" s="429"/>
      <c r="K19" s="299"/>
      <c r="L19" s="430" t="s">
        <v>69</v>
      </c>
      <c r="M19" s="430"/>
      <c r="N19" s="430"/>
      <c r="O19" s="430"/>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Rates'!B146</f>
        <v>825</v>
      </c>
      <c r="J21" s="345">
        <f>SUM(G21:I21)</f>
        <v>825</v>
      </c>
      <c r="L21" s="367"/>
      <c r="M21" s="367"/>
      <c r="N21" s="367">
        <f>I21</f>
        <v>825</v>
      </c>
      <c r="O21" s="345">
        <f>SUM(L21:N21)</f>
        <v>825</v>
      </c>
      <c r="P21" s="306">
        <v>44531</v>
      </c>
    </row>
    <row r="22" spans="1:22" x14ac:dyDescent="0.2">
      <c r="A22" s="328" t="s">
        <v>132</v>
      </c>
      <c r="D22" s="308">
        <f>C15</f>
        <v>0</v>
      </c>
      <c r="E22" s="309" t="s">
        <v>41</v>
      </c>
      <c r="F22" s="310" t="s">
        <v>8</v>
      </c>
      <c r="G22" s="344"/>
      <c r="H22" s="344"/>
      <c r="I22" s="376">
        <f>'Rider Rates'!C146</f>
        <v>5.9799999999999997E-5</v>
      </c>
      <c r="J22" s="344">
        <f>SUM(G22:I22)</f>
        <v>5.9799999999999997E-5</v>
      </c>
      <c r="K22" s="312" t="s">
        <v>42</v>
      </c>
      <c r="L22" s="345"/>
      <c r="M22" s="345"/>
      <c r="N22" s="345">
        <f>IF(C15&lt;0,0,ROUND($D22*I22,2))</f>
        <v>0</v>
      </c>
      <c r="O22" s="345">
        <f>SUM(L22:N22)</f>
        <v>0</v>
      </c>
      <c r="P22" s="306">
        <f>'Rider Rates'!H146</f>
        <v>45444</v>
      </c>
    </row>
    <row r="23" spans="1:22" x14ac:dyDescent="0.2">
      <c r="A23" s="315" t="s">
        <v>50</v>
      </c>
      <c r="B23" s="315"/>
      <c r="C23" s="315"/>
      <c r="D23" s="316"/>
      <c r="E23" s="316"/>
      <c r="F23" s="315"/>
      <c r="G23" s="315"/>
      <c r="H23" s="315"/>
      <c r="I23" s="315"/>
      <c r="J23" s="315"/>
      <c r="K23" s="318"/>
      <c r="L23" s="317"/>
      <c r="M23" s="317"/>
      <c r="N23" s="317">
        <f>SUM(N21:N22)</f>
        <v>825</v>
      </c>
      <c r="O23" s="317">
        <f>SUM(O21:O22)</f>
        <v>825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825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825</v>
      </c>
      <c r="E42" s="309" t="s">
        <v>122</v>
      </c>
      <c r="F42" s="310" t="s">
        <v>8</v>
      </c>
      <c r="G42" s="337"/>
      <c r="H42" s="301"/>
      <c r="I42" s="338">
        <f>'Rider Rates'!$B$85</f>
        <v>3.5344300000000002E-2</v>
      </c>
      <c r="J42" s="338">
        <f t="shared" si="0"/>
        <v>3.5344300000000002E-2</v>
      </c>
      <c r="K42" s="312"/>
      <c r="L42" s="225"/>
      <c r="M42" s="225"/>
      <c r="N42" s="225">
        <f>ROUND(D42*I42,2)</f>
        <v>29.16</v>
      </c>
      <c r="O42" s="225">
        <f t="shared" si="2"/>
        <v>29.16</v>
      </c>
      <c r="P42" s="306">
        <f>'Rider Rates'!$D$85</f>
        <v>45929</v>
      </c>
      <c r="Q42" s="310"/>
      <c r="R42" s="327"/>
      <c r="S42" s="312"/>
      <c r="T42" s="322"/>
      <c r="V42" s="323"/>
    </row>
    <row r="43" spans="1:22" x14ac:dyDescent="0.2">
      <c r="A43" s="328" t="s">
        <v>82</v>
      </c>
      <c r="D43" s="333">
        <f>$N$23</f>
        <v>825</v>
      </c>
      <c r="E43" s="309" t="s">
        <v>122</v>
      </c>
      <c r="F43" s="310" t="s">
        <v>8</v>
      </c>
      <c r="G43" s="339"/>
      <c r="H43" s="301"/>
      <c r="I43" s="338">
        <f>'Rider Rates'!$B$87</f>
        <v>7.8822199999999995E-2</v>
      </c>
      <c r="J43" s="338">
        <f t="shared" si="0"/>
        <v>7.8822199999999995E-2</v>
      </c>
      <c r="K43" s="312"/>
      <c r="L43" s="225"/>
      <c r="M43" s="225"/>
      <c r="N43" s="225">
        <f>ROUND(D43*I43,2)</f>
        <v>65.03</v>
      </c>
      <c r="O43" s="225">
        <f t="shared" si="2"/>
        <v>65.03</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825</v>
      </c>
      <c r="E46" s="309" t="s">
        <v>122</v>
      </c>
      <c r="F46" s="310" t="s">
        <v>8</v>
      </c>
      <c r="G46" s="339"/>
      <c r="H46" s="301"/>
      <c r="I46" s="338">
        <f>'Rider Rates'!$B$105</f>
        <v>0.24079249999999999</v>
      </c>
      <c r="J46" s="338">
        <f t="shared" si="0"/>
        <v>0.24079249999999999</v>
      </c>
      <c r="K46" s="312"/>
      <c r="L46" s="225"/>
      <c r="M46" s="225"/>
      <c r="N46" s="225">
        <f>ROUND(D46*I46,2)</f>
        <v>198.65</v>
      </c>
      <c r="O46" s="225">
        <f t="shared" si="2"/>
        <v>198.65</v>
      </c>
      <c r="P46" s="306">
        <f>'Rider Rates'!$D$105</f>
        <v>45987</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315.67</v>
      </c>
      <c r="O55" s="351">
        <f t="shared" si="4"/>
        <v>315.67</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1140.67</v>
      </c>
      <c r="O57" s="356">
        <f>O23+O55</f>
        <v>1140.67</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1140.67</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1140.67</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style="453" bestFit="1" customWidth="1"/>
    <col min="3" max="3" width="12.42578125" customWidth="1"/>
    <col min="4" max="4" width="13.5703125" bestFit="1" customWidth="1"/>
    <col min="5" max="5" width="11.5703125" bestFit="1" customWidth="1"/>
    <col min="6" max="6" width="13.5703125" bestFit="1" customWidth="1"/>
    <col min="7" max="7" width="15.5703125" customWidth="1"/>
    <col min="8" max="8" width="11.5703125" bestFit="1" customWidth="1"/>
  </cols>
  <sheetData>
    <row r="1" spans="1:10" x14ac:dyDescent="0.2">
      <c r="A1" s="71" t="s">
        <v>133</v>
      </c>
      <c r="B1" s="452" t="s">
        <v>1</v>
      </c>
      <c r="C1" s="71"/>
      <c r="D1" s="71" t="s">
        <v>7</v>
      </c>
      <c r="E1" s="71" t="s">
        <v>1</v>
      </c>
      <c r="F1" s="71" t="s">
        <v>7</v>
      </c>
    </row>
    <row r="3" spans="1:10" x14ac:dyDescent="0.2">
      <c r="A3" s="23" t="s">
        <v>136</v>
      </c>
    </row>
    <row r="4" spans="1:10" x14ac:dyDescent="0.2">
      <c r="A4" s="52" t="s">
        <v>134</v>
      </c>
      <c r="B4" s="454">
        <v>5.5215000000000004E-3</v>
      </c>
      <c r="C4" s="242"/>
      <c r="D4" s="393">
        <v>46022</v>
      </c>
    </row>
    <row r="5" spans="1:10" x14ac:dyDescent="0.2">
      <c r="A5" s="52" t="s">
        <v>135</v>
      </c>
      <c r="B5" s="453">
        <v>1.7560000000000001E-4</v>
      </c>
      <c r="C5" s="263"/>
      <c r="D5" s="393">
        <v>46022</v>
      </c>
    </row>
    <row r="7" spans="1:10" x14ac:dyDescent="0.2">
      <c r="A7" s="23" t="s">
        <v>137</v>
      </c>
      <c r="D7" s="24">
        <v>44531</v>
      </c>
    </row>
    <row r="8" spans="1:10" x14ac:dyDescent="0.2">
      <c r="A8" s="52" t="s">
        <v>138</v>
      </c>
      <c r="B8" s="264">
        <v>4.6499999999999996E-3</v>
      </c>
      <c r="C8" s="264"/>
      <c r="D8" s="24"/>
    </row>
    <row r="9" spans="1:10" x14ac:dyDescent="0.2">
      <c r="A9" s="203" t="s">
        <v>140</v>
      </c>
      <c r="B9" s="264">
        <v>4.1900000000000001E-3</v>
      </c>
      <c r="C9" s="264"/>
      <c r="D9" s="24"/>
    </row>
    <row r="10" spans="1:10" x14ac:dyDescent="0.2">
      <c r="A10" s="52" t="s">
        <v>139</v>
      </c>
      <c r="B10" s="264">
        <v>3.63E-3</v>
      </c>
      <c r="C10" s="264"/>
      <c r="D10" s="24"/>
    </row>
    <row r="12" spans="1:10" x14ac:dyDescent="0.2">
      <c r="A12" s="116" t="s">
        <v>141</v>
      </c>
      <c r="B12" s="265">
        <v>0</v>
      </c>
      <c r="C12" s="265"/>
      <c r="D12" s="24">
        <v>44531</v>
      </c>
    </row>
    <row r="14" spans="1:10" x14ac:dyDescent="0.2">
      <c r="A14" s="217" t="s">
        <v>158</v>
      </c>
      <c r="B14" s="440"/>
      <c r="C14" s="441"/>
      <c r="D14" s="441"/>
      <c r="G14" s="217"/>
      <c r="H14" s="440"/>
      <c r="I14" s="440"/>
      <c r="J14" s="440"/>
    </row>
    <row r="15" spans="1:10" x14ac:dyDescent="0.2">
      <c r="A15" s="203" t="s">
        <v>278</v>
      </c>
      <c r="B15" s="242">
        <v>0</v>
      </c>
      <c r="C15" s="242"/>
      <c r="D15" s="24">
        <v>45505</v>
      </c>
      <c r="G15" s="203"/>
      <c r="H15" s="242"/>
      <c r="I15" s="242"/>
      <c r="J15" s="24"/>
    </row>
    <row r="16" spans="1:10" x14ac:dyDescent="0.2">
      <c r="A16" s="243" t="s">
        <v>279</v>
      </c>
      <c r="B16" s="242">
        <v>0</v>
      </c>
      <c r="C16" s="242"/>
      <c r="D16" s="24">
        <v>45322</v>
      </c>
    </row>
    <row r="18" spans="1:6" x14ac:dyDescent="0.2">
      <c r="A18" s="23" t="s">
        <v>238</v>
      </c>
      <c r="B18" s="455">
        <v>0</v>
      </c>
      <c r="C18" s="24"/>
      <c r="D18" s="24">
        <v>44531</v>
      </c>
      <c r="E18" s="273">
        <v>0</v>
      </c>
      <c r="F18" s="24">
        <v>44531</v>
      </c>
    </row>
    <row r="20" spans="1:6" x14ac:dyDescent="0.2">
      <c r="A20" s="116" t="s">
        <v>178</v>
      </c>
      <c r="B20" s="456" t="s">
        <v>166</v>
      </c>
      <c r="C20" s="266" t="s">
        <v>167</v>
      </c>
    </row>
    <row r="21" spans="1:6" x14ac:dyDescent="0.2">
      <c r="A21" s="203" t="s">
        <v>153</v>
      </c>
      <c r="B21" s="386">
        <v>7.6880000000000004E-2</v>
      </c>
      <c r="C21" s="386">
        <v>7.6880000000000004E-2</v>
      </c>
      <c r="D21" s="24">
        <v>45809</v>
      </c>
    </row>
    <row r="22" spans="1:6" x14ac:dyDescent="0.2">
      <c r="A22" s="249" t="s">
        <v>297</v>
      </c>
      <c r="B22" s="386">
        <v>7.6880000000000004E-2</v>
      </c>
      <c r="C22" s="386">
        <v>7.6880000000000004E-2</v>
      </c>
      <c r="D22" s="24">
        <v>45809</v>
      </c>
    </row>
    <row r="23" spans="1:6" x14ac:dyDescent="0.2">
      <c r="A23" s="203" t="s">
        <v>180</v>
      </c>
      <c r="B23" s="386">
        <v>7.6880000000000004E-2</v>
      </c>
      <c r="C23" s="386">
        <v>7.6880000000000004E-2</v>
      </c>
      <c r="D23" s="24">
        <v>45809</v>
      </c>
    </row>
    <row r="24" spans="1:6" x14ac:dyDescent="0.2">
      <c r="A24" s="203" t="s">
        <v>181</v>
      </c>
      <c r="B24" s="387">
        <v>7.4289999999999995E-2</v>
      </c>
      <c r="C24" s="387">
        <v>7.4289999999999995E-2</v>
      </c>
      <c r="D24" s="24">
        <v>45809</v>
      </c>
    </row>
    <row r="25" spans="1:6" x14ac:dyDescent="0.2">
      <c r="A25" s="203" t="s">
        <v>182</v>
      </c>
      <c r="B25" s="387">
        <v>7.2950000000000001E-2</v>
      </c>
      <c r="C25" s="387">
        <v>7.2950000000000001E-2</v>
      </c>
      <c r="D25" s="24">
        <v>45809</v>
      </c>
    </row>
    <row r="26" spans="1:6" x14ac:dyDescent="0.2">
      <c r="A26" s="52"/>
      <c r="B26" s="242"/>
      <c r="C26" s="242"/>
      <c r="D26" s="24"/>
    </row>
    <row r="27" spans="1:6" x14ac:dyDescent="0.2">
      <c r="A27" s="116" t="s">
        <v>160</v>
      </c>
      <c r="B27" s="456" t="s">
        <v>166</v>
      </c>
      <c r="C27" s="266" t="s">
        <v>167</v>
      </c>
      <c r="D27" s="24"/>
    </row>
    <row r="28" spans="1:6" x14ac:dyDescent="0.2">
      <c r="A28" s="203" t="s">
        <v>188</v>
      </c>
      <c r="B28" s="387">
        <v>2.298E-2</v>
      </c>
      <c r="C28" s="263"/>
      <c r="D28" s="24">
        <v>45809</v>
      </c>
    </row>
    <row r="29" spans="1:6" x14ac:dyDescent="0.2">
      <c r="A29" s="52" t="s">
        <v>171</v>
      </c>
      <c r="B29" s="242">
        <v>4.7587499999999998E-2</v>
      </c>
      <c r="C29" s="242"/>
      <c r="D29" s="24">
        <v>45809</v>
      </c>
    </row>
    <row r="30" spans="1:6" x14ac:dyDescent="0.2">
      <c r="A30" s="52" t="s">
        <v>170</v>
      </c>
      <c r="B30" s="242">
        <v>1.3109600000000001E-2</v>
      </c>
      <c r="C30" s="263"/>
      <c r="D30" s="24">
        <v>45809</v>
      </c>
    </row>
    <row r="31" spans="1:6" x14ac:dyDescent="0.2">
      <c r="A31" s="52" t="s">
        <v>223</v>
      </c>
      <c r="B31" s="242">
        <v>0.19200049999999999</v>
      </c>
      <c r="C31" s="263"/>
      <c r="D31" s="24">
        <v>45809</v>
      </c>
    </row>
    <row r="32" spans="1:6" x14ac:dyDescent="0.2">
      <c r="A32" s="52" t="s">
        <v>224</v>
      </c>
      <c r="B32" s="242">
        <v>0</v>
      </c>
      <c r="C32" s="263"/>
      <c r="D32" s="24">
        <v>45809</v>
      </c>
    </row>
    <row r="33" spans="1:5" x14ac:dyDescent="0.2">
      <c r="A33" s="52" t="s">
        <v>143</v>
      </c>
      <c r="B33" s="242">
        <v>1.8849999999999999E-2</v>
      </c>
      <c r="C33" s="242"/>
      <c r="D33" s="24">
        <v>45809</v>
      </c>
    </row>
    <row r="34" spans="1:5" x14ac:dyDescent="0.2">
      <c r="A34" s="203" t="s">
        <v>180</v>
      </c>
      <c r="B34" s="242">
        <v>1.8180000000000002E-2</v>
      </c>
      <c r="C34" s="263"/>
      <c r="D34" s="24">
        <v>45809</v>
      </c>
    </row>
    <row r="35" spans="1:5" x14ac:dyDescent="0.2">
      <c r="A35" s="203" t="s">
        <v>228</v>
      </c>
      <c r="B35" s="242">
        <v>0.15807350000000001</v>
      </c>
      <c r="C35" s="263"/>
      <c r="D35" s="24">
        <v>45809</v>
      </c>
    </row>
    <row r="36" spans="1:5" x14ac:dyDescent="0.2">
      <c r="A36" s="203" t="s">
        <v>227</v>
      </c>
      <c r="B36" s="242">
        <v>0</v>
      </c>
      <c r="C36" s="263"/>
      <c r="D36" s="24">
        <v>45809</v>
      </c>
    </row>
    <row r="37" spans="1:5" x14ac:dyDescent="0.2">
      <c r="A37" s="203" t="s">
        <v>181</v>
      </c>
      <c r="B37" s="263">
        <v>1.3849999999999999E-2</v>
      </c>
      <c r="D37" s="24">
        <v>45809</v>
      </c>
    </row>
    <row r="38" spans="1:5" x14ac:dyDescent="0.2">
      <c r="A38" s="203" t="s">
        <v>182</v>
      </c>
      <c r="B38" s="263">
        <v>1.6299999999999999E-2</v>
      </c>
      <c r="D38" s="24">
        <v>45809</v>
      </c>
    </row>
    <row r="39" spans="1:5" x14ac:dyDescent="0.2">
      <c r="A39" s="249" t="s">
        <v>294</v>
      </c>
      <c r="B39" s="242">
        <v>3.0884399999999999E-2</v>
      </c>
      <c r="D39" s="24">
        <v>45809</v>
      </c>
    </row>
    <row r="40" spans="1:5" x14ac:dyDescent="0.2">
      <c r="A40" s="249" t="s">
        <v>295</v>
      </c>
      <c r="B40" s="263">
        <v>1.06385E-2</v>
      </c>
      <c r="D40" s="24">
        <v>45809</v>
      </c>
    </row>
    <row r="41" spans="1:5" x14ac:dyDescent="0.2">
      <c r="A41" s="249" t="s">
        <v>334</v>
      </c>
      <c r="B41" s="263">
        <v>2.10674E-2</v>
      </c>
      <c r="C41" s="388">
        <v>9.0900000000000009E-3</v>
      </c>
      <c r="D41" s="24">
        <v>45809</v>
      </c>
    </row>
    <row r="42" spans="1:5" x14ac:dyDescent="0.2">
      <c r="A42" s="249" t="s">
        <v>335</v>
      </c>
      <c r="B42" s="263">
        <v>1.6396899999999999E-2</v>
      </c>
      <c r="C42" s="388">
        <v>6.9249999999999997E-3</v>
      </c>
      <c r="D42" s="24">
        <v>45809</v>
      </c>
    </row>
    <row r="43" spans="1:5" x14ac:dyDescent="0.2">
      <c r="A43" s="249" t="s">
        <v>336</v>
      </c>
      <c r="B43" s="263">
        <v>1.9659699999999999E-2</v>
      </c>
      <c r="C43" s="388">
        <v>8.1499999999999993E-3</v>
      </c>
      <c r="D43" s="24">
        <v>45809</v>
      </c>
    </row>
    <row r="44" spans="1:5" x14ac:dyDescent="0.2">
      <c r="A44" s="249"/>
      <c r="B44" s="263"/>
      <c r="D44" s="24"/>
    </row>
    <row r="45" spans="1:5" x14ac:dyDescent="0.2">
      <c r="A45" s="116" t="s">
        <v>183</v>
      </c>
      <c r="B45" s="454">
        <v>2.7588999999999999E-3</v>
      </c>
      <c r="C45" s="242"/>
      <c r="D45" s="24">
        <v>46022</v>
      </c>
    </row>
    <row r="46" spans="1:5" x14ac:dyDescent="0.2">
      <c r="A46" s="52"/>
      <c r="D46" s="24"/>
    </row>
    <row r="47" spans="1:5" x14ac:dyDescent="0.2">
      <c r="A47" s="116" t="s">
        <v>210</v>
      </c>
      <c r="B47" s="457" t="s">
        <v>213</v>
      </c>
      <c r="C47" s="229" t="s">
        <v>214</v>
      </c>
      <c r="D47" s="229" t="s">
        <v>34</v>
      </c>
      <c r="E47" s="229" t="s">
        <v>215</v>
      </c>
    </row>
    <row r="48" spans="1:5" x14ac:dyDescent="0.2">
      <c r="A48" s="203" t="s">
        <v>211</v>
      </c>
      <c r="B48" s="389">
        <v>0</v>
      </c>
      <c r="C48" s="383">
        <v>0</v>
      </c>
      <c r="D48" s="384">
        <f>SUM(B48:C48)</f>
        <v>0</v>
      </c>
      <c r="E48" s="275">
        <v>45883</v>
      </c>
    </row>
    <row r="49" spans="1:8" x14ac:dyDescent="0.2">
      <c r="A49" s="203" t="s">
        <v>212</v>
      </c>
      <c r="B49" s="390">
        <v>0</v>
      </c>
      <c r="C49" s="381">
        <v>0</v>
      </c>
      <c r="D49" s="382">
        <f>SUM(B49:C49)</f>
        <v>0</v>
      </c>
      <c r="E49" s="275">
        <v>45883</v>
      </c>
    </row>
    <row r="50" spans="1:8" x14ac:dyDescent="0.2">
      <c r="A50" s="203"/>
      <c r="B50" s="253"/>
      <c r="D50" s="24"/>
    </row>
    <row r="51" spans="1:8" x14ac:dyDescent="0.2">
      <c r="A51" s="203"/>
      <c r="B51" s="253"/>
      <c r="D51" s="24"/>
    </row>
    <row r="52" spans="1:8" x14ac:dyDescent="0.2">
      <c r="A52" s="203"/>
      <c r="B52" s="253"/>
      <c r="D52" s="24"/>
    </row>
    <row r="53" spans="1:8" x14ac:dyDescent="0.2">
      <c r="A53" s="52"/>
      <c r="D53" s="24"/>
    </row>
    <row r="54" spans="1:8" x14ac:dyDescent="0.2">
      <c r="A54" s="116" t="s">
        <v>184</v>
      </c>
    </row>
    <row r="55" spans="1:8" x14ac:dyDescent="0.2">
      <c r="A55" s="203" t="s">
        <v>153</v>
      </c>
      <c r="B55" s="453">
        <v>3.55042E-2</v>
      </c>
      <c r="D55" s="278">
        <v>45929</v>
      </c>
      <c r="F55" s="248" t="s">
        <v>275</v>
      </c>
      <c r="G55" s="276">
        <v>2.1561400000000001E-2</v>
      </c>
      <c r="H55" s="278">
        <v>45929</v>
      </c>
    </row>
    <row r="56" spans="1:8" x14ac:dyDescent="0.2">
      <c r="A56" s="203" t="s">
        <v>179</v>
      </c>
      <c r="B56" s="458">
        <v>2.1561400000000001E-2</v>
      </c>
      <c r="D56" s="278">
        <v>45929</v>
      </c>
      <c r="F56" s="248" t="s">
        <v>276</v>
      </c>
      <c r="G56" s="276">
        <v>2.8046499999999999E-2</v>
      </c>
      <c r="H56" s="278">
        <v>45929</v>
      </c>
    </row>
    <row r="57" spans="1:8" x14ac:dyDescent="0.2">
      <c r="A57" s="203" t="s">
        <v>180</v>
      </c>
      <c r="B57" s="453">
        <v>4.3439999999999999E-4</v>
      </c>
      <c r="D57" s="278">
        <v>45929</v>
      </c>
    </row>
    <row r="58" spans="1:8" x14ac:dyDescent="0.2">
      <c r="A58" s="203" t="s">
        <v>181</v>
      </c>
      <c r="B58" s="453">
        <v>4.1980000000000001E-4</v>
      </c>
      <c r="D58" s="278">
        <v>45929</v>
      </c>
    </row>
    <row r="59" spans="1:8" x14ac:dyDescent="0.2">
      <c r="A59" s="203" t="s">
        <v>182</v>
      </c>
      <c r="B59" s="453">
        <v>4.1229999999999999E-4</v>
      </c>
      <c r="D59" s="278">
        <v>45929</v>
      </c>
    </row>
    <row r="61" spans="1:8" x14ac:dyDescent="0.2">
      <c r="A61" s="116" t="s">
        <v>185</v>
      </c>
    </row>
    <row r="62" spans="1:8" x14ac:dyDescent="0.2">
      <c r="A62" s="203" t="s">
        <v>180</v>
      </c>
      <c r="B62" s="268">
        <v>7.49</v>
      </c>
      <c r="D62" s="278">
        <v>45929</v>
      </c>
    </row>
    <row r="63" spans="1:8" x14ac:dyDescent="0.2">
      <c r="A63" s="203" t="s">
        <v>181</v>
      </c>
      <c r="B63" s="268">
        <v>8.67</v>
      </c>
      <c r="D63" s="278">
        <v>45929</v>
      </c>
    </row>
    <row r="64" spans="1:8" x14ac:dyDescent="0.2">
      <c r="A64" s="203" t="s">
        <v>182</v>
      </c>
      <c r="B64" s="268">
        <v>7.16</v>
      </c>
      <c r="D64" s="278">
        <v>45929</v>
      </c>
    </row>
    <row r="65" spans="1:4" x14ac:dyDescent="0.2">
      <c r="A65" s="52"/>
      <c r="D65" s="24"/>
    </row>
    <row r="66" spans="1:4" x14ac:dyDescent="0.2">
      <c r="A66" s="116" t="s">
        <v>337</v>
      </c>
      <c r="B66" s="385">
        <v>7.3870000000000001E-4</v>
      </c>
      <c r="D66" s="278">
        <v>45747</v>
      </c>
    </row>
    <row r="67" spans="1:4" x14ac:dyDescent="0.2">
      <c r="A67" s="52"/>
      <c r="D67" s="24"/>
    </row>
    <row r="68" spans="1:4" x14ac:dyDescent="0.2">
      <c r="A68" s="116" t="s">
        <v>338</v>
      </c>
      <c r="C68" s="267" t="s">
        <v>207</v>
      </c>
      <c r="D68" s="24"/>
    </row>
    <row r="69" spans="1:4" x14ac:dyDescent="0.2">
      <c r="A69" s="52" t="s">
        <v>142</v>
      </c>
      <c r="B69" s="263">
        <v>0</v>
      </c>
      <c r="C69" s="263">
        <v>0</v>
      </c>
      <c r="D69" s="24">
        <v>45444</v>
      </c>
    </row>
    <row r="70" spans="1:4" x14ac:dyDescent="0.2">
      <c r="A70" s="52" t="s">
        <v>143</v>
      </c>
      <c r="B70" s="263">
        <v>0</v>
      </c>
      <c r="C70" s="263">
        <v>0</v>
      </c>
      <c r="D70" s="24">
        <v>45444</v>
      </c>
    </row>
    <row r="71" spans="1:4" x14ac:dyDescent="0.2">
      <c r="A71" s="52" t="s">
        <v>148</v>
      </c>
      <c r="B71" s="263">
        <v>0</v>
      </c>
      <c r="C71" s="263">
        <v>0</v>
      </c>
      <c r="D71" s="24">
        <v>45444</v>
      </c>
    </row>
    <row r="72" spans="1:4" x14ac:dyDescent="0.2">
      <c r="A72" s="52" t="s">
        <v>144</v>
      </c>
      <c r="B72" s="263">
        <v>0</v>
      </c>
      <c r="C72" s="263">
        <v>0</v>
      </c>
      <c r="D72" s="24">
        <v>45444</v>
      </c>
    </row>
    <row r="73" spans="1:4" x14ac:dyDescent="0.2">
      <c r="A73" s="52" t="s">
        <v>149</v>
      </c>
      <c r="B73" s="263">
        <v>0</v>
      </c>
      <c r="C73" s="263">
        <v>0</v>
      </c>
      <c r="D73" s="24">
        <v>45444</v>
      </c>
    </row>
    <row r="74" spans="1:4" x14ac:dyDescent="0.2">
      <c r="A74" s="52" t="s">
        <v>150</v>
      </c>
      <c r="B74" s="263">
        <v>0</v>
      </c>
      <c r="C74" s="263">
        <v>0</v>
      </c>
      <c r="D74" s="24">
        <v>45444</v>
      </c>
    </row>
    <row r="75" spans="1:4" x14ac:dyDescent="0.2">
      <c r="A75" s="52"/>
      <c r="B75" s="242"/>
      <c r="C75" s="242"/>
      <c r="D75" s="24"/>
    </row>
    <row r="76" spans="1:4" x14ac:dyDescent="0.2">
      <c r="A76" s="116" t="s">
        <v>195</v>
      </c>
      <c r="D76" s="24"/>
    </row>
    <row r="77" spans="1:4" x14ac:dyDescent="0.2">
      <c r="A77" s="52" t="s">
        <v>143</v>
      </c>
      <c r="B77" s="268">
        <v>0</v>
      </c>
      <c r="C77" s="263"/>
      <c r="D77" s="24">
        <v>45444</v>
      </c>
    </row>
    <row r="78" spans="1:4" x14ac:dyDescent="0.2">
      <c r="A78" s="52" t="s">
        <v>144</v>
      </c>
      <c r="B78" s="268">
        <v>0</v>
      </c>
      <c r="C78" s="263"/>
      <c r="D78" s="24">
        <v>45444</v>
      </c>
    </row>
    <row r="79" spans="1:4" x14ac:dyDescent="0.2">
      <c r="A79" s="52"/>
      <c r="B79" s="242"/>
      <c r="C79" s="242"/>
      <c r="D79" s="24"/>
    </row>
    <row r="80" spans="1:4" x14ac:dyDescent="0.2">
      <c r="A80" s="116" t="s">
        <v>196</v>
      </c>
      <c r="D80" s="24"/>
    </row>
    <row r="81" spans="1:6" x14ac:dyDescent="0.2">
      <c r="A81" s="52" t="s">
        <v>148</v>
      </c>
      <c r="B81" s="268">
        <v>0</v>
      </c>
      <c r="C81" s="263"/>
      <c r="D81" s="24">
        <v>45444</v>
      </c>
    </row>
    <row r="82" spans="1:6" x14ac:dyDescent="0.2">
      <c r="A82" s="52" t="s">
        <v>149</v>
      </c>
      <c r="B82" s="268">
        <v>0</v>
      </c>
      <c r="C82" s="263"/>
      <c r="D82" s="24">
        <v>45444</v>
      </c>
    </row>
    <row r="83" spans="1:6" x14ac:dyDescent="0.2">
      <c r="A83" s="52" t="s">
        <v>150</v>
      </c>
      <c r="B83" s="268">
        <v>0</v>
      </c>
      <c r="C83" s="242"/>
      <c r="D83" s="24">
        <v>45444</v>
      </c>
    </row>
    <row r="84" spans="1:6" x14ac:dyDescent="0.2">
      <c r="A84" s="52"/>
      <c r="B84" s="242"/>
      <c r="C84" s="242"/>
      <c r="D84" s="24"/>
    </row>
    <row r="85" spans="1:6" x14ac:dyDescent="0.2">
      <c r="A85" s="116" t="s">
        <v>151</v>
      </c>
      <c r="B85" s="391">
        <v>3.5344300000000002E-2</v>
      </c>
      <c r="C85" s="277"/>
      <c r="D85" s="278">
        <v>45929</v>
      </c>
    </row>
    <row r="86" spans="1:6" x14ac:dyDescent="0.2">
      <c r="A86" s="52"/>
      <c r="D86" s="24"/>
    </row>
    <row r="87" spans="1:6" x14ac:dyDescent="0.2">
      <c r="A87" s="23" t="s">
        <v>152</v>
      </c>
      <c r="B87" s="269">
        <v>7.8822199999999995E-2</v>
      </c>
      <c r="C87" s="269"/>
      <c r="D87" s="24">
        <v>45987</v>
      </c>
    </row>
    <row r="89" spans="1:6" x14ac:dyDescent="0.2">
      <c r="A89" s="23" t="s">
        <v>315</v>
      </c>
      <c r="D89" s="24"/>
    </row>
    <row r="90" spans="1:6" x14ac:dyDescent="0.2">
      <c r="A90" s="203" t="s">
        <v>153</v>
      </c>
      <c r="B90" s="271">
        <v>2.62</v>
      </c>
      <c r="C90" s="271"/>
      <c r="D90" s="24">
        <v>46022</v>
      </c>
    </row>
    <row r="91" spans="1:6" x14ac:dyDescent="0.2">
      <c r="A91" s="203" t="s">
        <v>154</v>
      </c>
      <c r="B91" s="271">
        <v>21.84</v>
      </c>
      <c r="C91" s="271"/>
      <c r="D91" s="24">
        <v>46022</v>
      </c>
    </row>
    <row r="93" spans="1:6" x14ac:dyDescent="0.2">
      <c r="A93" s="23" t="s">
        <v>240</v>
      </c>
      <c r="B93" s="269"/>
      <c r="C93" s="269"/>
      <c r="D93" s="24"/>
    </row>
    <row r="94" spans="1:6" x14ac:dyDescent="0.2">
      <c r="A94" s="52" t="s">
        <v>142</v>
      </c>
      <c r="B94" s="263">
        <v>0</v>
      </c>
      <c r="C94" s="263"/>
      <c r="D94" s="24">
        <v>44531</v>
      </c>
      <c r="E94" s="263"/>
      <c r="F94" s="24"/>
    </row>
    <row r="95" spans="1:6" x14ac:dyDescent="0.2">
      <c r="A95" s="52" t="s">
        <v>143</v>
      </c>
      <c r="B95" s="263">
        <v>0</v>
      </c>
      <c r="C95" s="263"/>
      <c r="D95" s="24">
        <v>44531</v>
      </c>
      <c r="E95" s="263"/>
      <c r="F95" s="24"/>
    </row>
    <row r="96" spans="1:6" x14ac:dyDescent="0.2">
      <c r="A96" s="52" t="s">
        <v>197</v>
      </c>
      <c r="B96" s="263">
        <v>0</v>
      </c>
      <c r="C96" s="263"/>
      <c r="D96" s="24">
        <v>44531</v>
      </c>
      <c r="E96" s="263"/>
      <c r="F96" s="24"/>
    </row>
    <row r="97" spans="1:6" x14ac:dyDescent="0.2">
      <c r="A97" s="52" t="s">
        <v>198</v>
      </c>
      <c r="B97" s="263">
        <v>0</v>
      </c>
      <c r="C97" s="263"/>
      <c r="D97" s="24">
        <v>44531</v>
      </c>
      <c r="E97" s="263"/>
      <c r="F97" s="24"/>
    </row>
    <row r="98" spans="1:6" x14ac:dyDescent="0.2">
      <c r="A98" s="52" t="s">
        <v>199</v>
      </c>
      <c r="B98" s="263">
        <v>0</v>
      </c>
      <c r="C98" s="263"/>
      <c r="D98" s="24">
        <v>44531</v>
      </c>
      <c r="E98" s="263"/>
      <c r="F98" s="24"/>
    </row>
    <row r="99" spans="1:6" x14ac:dyDescent="0.2">
      <c r="A99" s="52" t="s">
        <v>200</v>
      </c>
      <c r="B99" s="263">
        <v>0</v>
      </c>
      <c r="C99" s="263"/>
      <c r="D99" s="24">
        <v>44531</v>
      </c>
      <c r="E99" s="263"/>
      <c r="F99" s="24"/>
    </row>
    <row r="100" spans="1:6" x14ac:dyDescent="0.2">
      <c r="A100" s="52" t="s">
        <v>201</v>
      </c>
      <c r="B100" s="263">
        <v>0</v>
      </c>
      <c r="C100" s="263"/>
      <c r="D100" s="24">
        <v>44531</v>
      </c>
      <c r="E100" s="263"/>
      <c r="F100" s="24"/>
    </row>
    <row r="101" spans="1:6" x14ac:dyDescent="0.2">
      <c r="A101" s="52" t="s">
        <v>202</v>
      </c>
      <c r="B101" s="263">
        <v>0</v>
      </c>
      <c r="C101" s="263"/>
      <c r="D101" s="24">
        <v>44531</v>
      </c>
      <c r="E101" s="263"/>
      <c r="F101" s="24"/>
    </row>
    <row r="102" spans="1:6" x14ac:dyDescent="0.2">
      <c r="A102" s="52" t="s">
        <v>203</v>
      </c>
      <c r="B102" s="263">
        <v>0</v>
      </c>
      <c r="C102" s="263"/>
      <c r="D102" s="24">
        <v>44531</v>
      </c>
      <c r="E102" s="263"/>
      <c r="F102" s="24"/>
    </row>
    <row r="103" spans="1:6" x14ac:dyDescent="0.2">
      <c r="A103" s="52" t="s">
        <v>204</v>
      </c>
      <c r="B103" s="263">
        <v>0</v>
      </c>
      <c r="C103" s="263"/>
      <c r="D103" s="24">
        <v>44531</v>
      </c>
      <c r="E103" s="263"/>
      <c r="F103" s="24"/>
    </row>
    <row r="105" spans="1:6" x14ac:dyDescent="0.2">
      <c r="A105" s="23" t="s">
        <v>155</v>
      </c>
      <c r="B105" s="394">
        <v>0.24079249999999999</v>
      </c>
      <c r="C105" s="269"/>
      <c r="D105" s="392">
        <v>45987</v>
      </c>
    </row>
    <row r="107" spans="1:6" x14ac:dyDescent="0.2">
      <c r="A107" s="23" t="s">
        <v>209</v>
      </c>
      <c r="D107" s="24"/>
    </row>
    <row r="108" spans="1:6" x14ac:dyDescent="0.2">
      <c r="A108" s="203" t="s">
        <v>153</v>
      </c>
      <c r="B108" s="270">
        <v>0</v>
      </c>
      <c r="C108" s="270"/>
      <c r="D108" s="24">
        <v>44894</v>
      </c>
    </row>
    <row r="109" spans="1:6" x14ac:dyDescent="0.2">
      <c r="A109" s="203" t="s">
        <v>154</v>
      </c>
      <c r="B109" s="270">
        <v>0</v>
      </c>
      <c r="C109" s="270"/>
      <c r="D109" s="24">
        <v>44894</v>
      </c>
    </row>
    <row r="111" spans="1:6" x14ac:dyDescent="0.2">
      <c r="A111" s="116" t="s">
        <v>205</v>
      </c>
      <c r="D111" s="24"/>
    </row>
    <row r="112" spans="1:6" x14ac:dyDescent="0.2">
      <c r="A112" s="52" t="s">
        <v>145</v>
      </c>
      <c r="B112" s="254">
        <v>3.8972999999999998E-3</v>
      </c>
      <c r="C112" s="242"/>
      <c r="D112" s="24">
        <v>44531</v>
      </c>
    </row>
    <row r="113" spans="1:5" x14ac:dyDescent="0.2">
      <c r="A113" s="52" t="s">
        <v>146</v>
      </c>
      <c r="B113" s="254">
        <v>3.7618E-3</v>
      </c>
      <c r="C113" s="242"/>
      <c r="D113" s="24">
        <v>44531</v>
      </c>
    </row>
    <row r="114" spans="1:5" x14ac:dyDescent="0.2">
      <c r="A114" s="52" t="s">
        <v>147</v>
      </c>
      <c r="B114" s="254">
        <v>3.6865999999999999E-3</v>
      </c>
      <c r="C114" s="242"/>
      <c r="D114" s="24">
        <v>44531</v>
      </c>
    </row>
    <row r="116" spans="1:5" x14ac:dyDescent="0.2">
      <c r="A116" s="116" t="s">
        <v>208</v>
      </c>
    </row>
    <row r="117" spans="1:5" x14ac:dyDescent="0.2">
      <c r="A117" s="52" t="s">
        <v>153</v>
      </c>
      <c r="B117" s="270">
        <v>0</v>
      </c>
      <c r="D117" s="24">
        <v>45657</v>
      </c>
    </row>
    <row r="118" spans="1:5" x14ac:dyDescent="0.2">
      <c r="A118" s="52" t="s">
        <v>154</v>
      </c>
      <c r="B118" s="270">
        <v>0</v>
      </c>
      <c r="D118" s="24">
        <v>45657</v>
      </c>
    </row>
    <row r="119" spans="1:5" x14ac:dyDescent="0.2">
      <c r="A119" s="52"/>
      <c r="B119" s="270"/>
      <c r="D119" s="24"/>
    </row>
    <row r="120" spans="1:5" x14ac:dyDescent="0.2">
      <c r="A120" s="23" t="s">
        <v>217</v>
      </c>
    </row>
    <row r="121" spans="1:5" x14ac:dyDescent="0.2">
      <c r="A121" s="203" t="s">
        <v>153</v>
      </c>
      <c r="B121" s="459">
        <v>0.2</v>
      </c>
      <c r="C121" s="271"/>
      <c r="D121" s="24">
        <v>45958</v>
      </c>
    </row>
    <row r="122" spans="1:5" x14ac:dyDescent="0.2">
      <c r="A122" s="203" t="s">
        <v>154</v>
      </c>
      <c r="B122" s="459">
        <v>0.99</v>
      </c>
      <c r="C122" s="271"/>
      <c r="D122" s="24">
        <v>45958</v>
      </c>
    </row>
    <row r="124" spans="1:5" x14ac:dyDescent="0.2">
      <c r="A124" s="116" t="s">
        <v>230</v>
      </c>
      <c r="B124" s="272"/>
      <c r="E124" s="24"/>
    </row>
    <row r="125" spans="1:5" x14ac:dyDescent="0.2">
      <c r="A125" s="203" t="s">
        <v>153</v>
      </c>
      <c r="B125" s="271">
        <v>0</v>
      </c>
      <c r="C125" s="24"/>
      <c r="E125" s="24">
        <v>45883</v>
      </c>
    </row>
    <row r="126" spans="1:5" x14ac:dyDescent="0.2">
      <c r="A126" s="52" t="s">
        <v>134</v>
      </c>
      <c r="B126" s="254">
        <v>0</v>
      </c>
      <c r="C126" s="271">
        <v>242</v>
      </c>
      <c r="D126" t="s">
        <v>231</v>
      </c>
      <c r="E126" s="24">
        <v>45883</v>
      </c>
    </row>
    <row r="127" spans="1:5" x14ac:dyDescent="0.2">
      <c r="A127" s="52" t="s">
        <v>135</v>
      </c>
      <c r="B127" s="254">
        <v>0</v>
      </c>
      <c r="E127" s="24">
        <v>45883</v>
      </c>
    </row>
    <row r="129" spans="1:8" x14ac:dyDescent="0.2">
      <c r="A129" s="116" t="s">
        <v>242</v>
      </c>
    </row>
    <row r="130" spans="1:8" x14ac:dyDescent="0.2">
      <c r="A130" s="203" t="s">
        <v>153</v>
      </c>
      <c r="B130" s="271">
        <v>0</v>
      </c>
      <c r="D130" s="24">
        <v>44531</v>
      </c>
    </row>
    <row r="131" spans="1:8" x14ac:dyDescent="0.2">
      <c r="A131" s="203" t="s">
        <v>179</v>
      </c>
      <c r="B131" s="271">
        <v>0</v>
      </c>
      <c r="D131" s="24">
        <v>44531</v>
      </c>
    </row>
    <row r="132" spans="1:8" x14ac:dyDescent="0.2">
      <c r="A132" s="203" t="s">
        <v>180</v>
      </c>
      <c r="B132" s="271">
        <v>0</v>
      </c>
      <c r="D132" s="24">
        <v>44531</v>
      </c>
    </row>
    <row r="133" spans="1:8" x14ac:dyDescent="0.2">
      <c r="A133" s="203" t="s">
        <v>181</v>
      </c>
      <c r="B133" s="271">
        <v>0</v>
      </c>
      <c r="D133" s="24">
        <v>44531</v>
      </c>
    </row>
    <row r="134" spans="1:8" x14ac:dyDescent="0.2">
      <c r="A134" s="203" t="s">
        <v>182</v>
      </c>
      <c r="B134" s="271">
        <v>0</v>
      </c>
      <c r="D134" s="24">
        <v>44531</v>
      </c>
    </row>
    <row r="136" spans="1:8" x14ac:dyDescent="0.2">
      <c r="A136" s="23" t="s">
        <v>241</v>
      </c>
      <c r="D136" s="24"/>
    </row>
    <row r="137" spans="1:8" x14ac:dyDescent="0.2">
      <c r="A137" s="203" t="s">
        <v>153</v>
      </c>
      <c r="B137" s="271">
        <v>0</v>
      </c>
      <c r="C137" s="271"/>
      <c r="D137" s="24">
        <v>44531</v>
      </c>
    </row>
    <row r="138" spans="1:8" x14ac:dyDescent="0.2">
      <c r="A138" s="203" t="s">
        <v>154</v>
      </c>
      <c r="B138" s="271">
        <v>0</v>
      </c>
      <c r="C138" s="271"/>
      <c r="D138" s="24">
        <v>44531</v>
      </c>
    </row>
    <row r="140" spans="1:8" x14ac:dyDescent="0.2">
      <c r="A140" s="23" t="s">
        <v>243</v>
      </c>
      <c r="D140" t="s">
        <v>244</v>
      </c>
    </row>
    <row r="142" spans="1:8" x14ac:dyDescent="0.2">
      <c r="A142" s="23" t="s">
        <v>318</v>
      </c>
      <c r="B142" s="377">
        <v>10</v>
      </c>
      <c r="C142" s="378">
        <v>3.7427700000000001E-2</v>
      </c>
      <c r="D142" s="378">
        <v>1.5787499999999999E-2</v>
      </c>
      <c r="E142" s="377"/>
      <c r="F142" s="377">
        <v>0</v>
      </c>
      <c r="G142" s="377">
        <v>0</v>
      </c>
      <c r="H142" s="24">
        <v>45444</v>
      </c>
    </row>
    <row r="144" spans="1:8" x14ac:dyDescent="0.2">
      <c r="A144" s="23" t="s">
        <v>319</v>
      </c>
      <c r="B144" s="379">
        <v>9.4</v>
      </c>
      <c r="C144" s="380">
        <v>2.0634799999999998E-2</v>
      </c>
      <c r="D144" s="377">
        <v>0</v>
      </c>
      <c r="E144" s="377">
        <v>0</v>
      </c>
      <c r="F144" s="377">
        <v>0</v>
      </c>
      <c r="G144" s="379">
        <v>0</v>
      </c>
      <c r="H144" s="24">
        <v>45444</v>
      </c>
    </row>
    <row r="145" spans="1:8" x14ac:dyDescent="0.2">
      <c r="A145" s="23" t="s">
        <v>320</v>
      </c>
      <c r="B145" s="379">
        <v>138.5</v>
      </c>
      <c r="C145" s="380">
        <v>1.3832199999999999E-2</v>
      </c>
      <c r="D145" s="377">
        <v>0</v>
      </c>
      <c r="E145" s="377">
        <v>0</v>
      </c>
      <c r="F145" s="377">
        <v>0</v>
      </c>
      <c r="G145" s="379">
        <v>0</v>
      </c>
      <c r="H145" s="24">
        <v>45444</v>
      </c>
    </row>
    <row r="146" spans="1:8" x14ac:dyDescent="0.2">
      <c r="A146" s="23" t="s">
        <v>321</v>
      </c>
      <c r="B146" s="379">
        <v>825</v>
      </c>
      <c r="C146" s="380">
        <v>5.9799999999999997E-5</v>
      </c>
      <c r="D146" s="377">
        <v>0</v>
      </c>
      <c r="E146" s="377">
        <v>0</v>
      </c>
      <c r="F146" s="377">
        <v>0</v>
      </c>
      <c r="G146" s="379">
        <v>0</v>
      </c>
      <c r="H146" s="24">
        <v>45444</v>
      </c>
    </row>
    <row r="147" spans="1:8" x14ac:dyDescent="0.2">
      <c r="A147" s="23" t="s">
        <v>322</v>
      </c>
      <c r="B147" s="379">
        <v>3600</v>
      </c>
      <c r="C147" s="380">
        <v>5.9799999999999997E-5</v>
      </c>
      <c r="D147" s="377">
        <v>0</v>
      </c>
      <c r="E147" s="377">
        <v>0</v>
      </c>
      <c r="F147" s="377">
        <v>0</v>
      </c>
      <c r="G147" s="379">
        <v>0</v>
      </c>
      <c r="H147" s="24">
        <v>45444</v>
      </c>
    </row>
  </sheetData>
  <sheetProtection algorithmName="SHA-512" hashValue="QVg06zrSk4WBAik+bJrBEr+pa5FrPvNTaL2EXanFBihdbA6lqBqyNj+yYGMMNfF26uZQ+O6gtUnHq88PBKD7uQ==" saltValue="UQz+mWaCVIbIJg0wsHRX9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448" t="s">
        <v>36</v>
      </c>
      <c r="B2" s="448"/>
      <c r="C2" s="448"/>
      <c r="D2" s="448"/>
      <c r="E2" s="448"/>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66" t="b">
        <v>1</v>
      </c>
      <c r="G4" s="43" t="s">
        <v>38</v>
      </c>
    </row>
    <row r="5" spans="1:7" x14ac:dyDescent="0.2">
      <c r="A5" s="59" t="s">
        <v>61</v>
      </c>
      <c r="B5" s="443">
        <v>2001</v>
      </c>
      <c r="C5" s="61">
        <v>7.7130000000000005E-4</v>
      </c>
      <c r="D5" s="60" t="s">
        <v>60</v>
      </c>
      <c r="E5" s="449" t="b">
        <v>1</v>
      </c>
      <c r="G5" s="43"/>
    </row>
    <row r="6" spans="1:7" x14ac:dyDescent="0.2">
      <c r="A6" s="59" t="s">
        <v>62</v>
      </c>
      <c r="B6" s="445"/>
      <c r="C6" s="61">
        <v>1.83E-4</v>
      </c>
      <c r="D6" s="60" t="s">
        <v>60</v>
      </c>
      <c r="E6" s="451"/>
      <c r="G6" s="43"/>
    </row>
    <row r="7" spans="1:7" x14ac:dyDescent="0.2">
      <c r="A7" s="10" t="s">
        <v>4</v>
      </c>
      <c r="B7" s="5">
        <v>2001</v>
      </c>
      <c r="C7" s="42">
        <v>1.0758E-4</v>
      </c>
      <c r="D7" s="5" t="s">
        <v>60</v>
      </c>
      <c r="E7" s="54" t="b">
        <v>1</v>
      </c>
      <c r="G7" s="43"/>
    </row>
    <row r="8" spans="1:7" ht="12.75" customHeight="1" x14ac:dyDescent="0.2">
      <c r="A8" s="62" t="s">
        <v>47</v>
      </c>
      <c r="B8" s="443">
        <v>2001</v>
      </c>
      <c r="C8" s="63">
        <v>4.6499999999999996E-3</v>
      </c>
      <c r="D8" s="443" t="s">
        <v>60</v>
      </c>
      <c r="E8" s="449" t="b">
        <v>1</v>
      </c>
      <c r="G8" s="442" t="s">
        <v>38</v>
      </c>
    </row>
    <row r="9" spans="1:7" x14ac:dyDescent="0.2">
      <c r="A9" s="62" t="s">
        <v>48</v>
      </c>
      <c r="B9" s="444"/>
      <c r="C9" s="63">
        <v>4.1900000000000001E-3</v>
      </c>
      <c r="D9" s="444"/>
      <c r="E9" s="450" t="b">
        <v>0</v>
      </c>
      <c r="G9" s="442"/>
    </row>
    <row r="10" spans="1:7" x14ac:dyDescent="0.2">
      <c r="A10" s="62" t="s">
        <v>49</v>
      </c>
      <c r="B10" s="445"/>
      <c r="C10" s="63">
        <v>3.63E-3</v>
      </c>
      <c r="D10" s="445"/>
      <c r="E10" s="451"/>
      <c r="G10" s="442"/>
    </row>
    <row r="11" spans="1:7" x14ac:dyDescent="0.2">
      <c r="A11" s="10" t="s">
        <v>13</v>
      </c>
      <c r="B11" s="5">
        <v>2002</v>
      </c>
      <c r="C11" s="6">
        <v>4.3600000000000003E-5</v>
      </c>
      <c r="D11" s="5" t="s">
        <v>60</v>
      </c>
      <c r="E11" s="54" t="b">
        <v>1</v>
      </c>
    </row>
    <row r="12" spans="1:7" x14ac:dyDescent="0.2">
      <c r="A12" s="62" t="s">
        <v>14</v>
      </c>
      <c r="B12" s="64">
        <v>2002</v>
      </c>
      <c r="C12" s="63">
        <v>1.2520000000000001E-4</v>
      </c>
      <c r="D12" s="64" t="s">
        <v>60</v>
      </c>
      <c r="E12" s="65" t="b">
        <v>1</v>
      </c>
    </row>
    <row r="13" spans="1:7" x14ac:dyDescent="0.2">
      <c r="A13" s="10" t="s">
        <v>16</v>
      </c>
      <c r="B13" s="5">
        <v>2002</v>
      </c>
      <c r="C13" s="6">
        <v>3.369E-4</v>
      </c>
      <c r="D13" s="5" t="s">
        <v>60</v>
      </c>
      <c r="E13" s="54" t="b">
        <v>1</v>
      </c>
    </row>
    <row r="14" spans="1:7" x14ac:dyDescent="0.2">
      <c r="A14" s="62" t="s">
        <v>17</v>
      </c>
      <c r="B14" s="64">
        <v>2002</v>
      </c>
      <c r="C14" s="63">
        <v>9.6730000000000004E-4</v>
      </c>
      <c r="D14" s="64" t="s">
        <v>60</v>
      </c>
      <c r="E14" s="65" t="b">
        <v>1</v>
      </c>
    </row>
    <row r="15" spans="1:7" x14ac:dyDescent="0.2">
      <c r="A15" s="10" t="s">
        <v>63</v>
      </c>
      <c r="B15" s="5">
        <v>2001</v>
      </c>
      <c r="C15" s="6">
        <v>6.3080000000000005E-4</v>
      </c>
      <c r="D15" s="5" t="s">
        <v>60</v>
      </c>
      <c r="E15" s="54" t="b">
        <v>1</v>
      </c>
    </row>
    <row r="16" spans="1:7" x14ac:dyDescent="0.2">
      <c r="A16" s="62" t="s">
        <v>9</v>
      </c>
      <c r="B16" s="64">
        <v>2001</v>
      </c>
      <c r="C16" s="63">
        <v>5.5290000000000005E-4</v>
      </c>
      <c r="D16" s="64" t="s">
        <v>60</v>
      </c>
      <c r="E16" s="65" t="b">
        <v>1</v>
      </c>
    </row>
    <row r="17" spans="1:5" x14ac:dyDescent="0.2">
      <c r="A17" s="10" t="s">
        <v>10</v>
      </c>
      <c r="B17" s="5">
        <v>2001</v>
      </c>
      <c r="C17" s="6">
        <v>5.6780000000000003E-4</v>
      </c>
      <c r="D17" s="5" t="s">
        <v>60</v>
      </c>
      <c r="E17" s="54" t="b">
        <v>1</v>
      </c>
    </row>
    <row r="18" spans="1:5" x14ac:dyDescent="0.2">
      <c r="A18" s="62" t="s">
        <v>11</v>
      </c>
      <c r="B18" s="64">
        <v>2001</v>
      </c>
      <c r="C18" s="63">
        <v>4.5619999999999998E-4</v>
      </c>
      <c r="D18" s="64" t="s">
        <v>60</v>
      </c>
      <c r="E18" s="65" t="b">
        <v>1</v>
      </c>
    </row>
    <row r="19" spans="1:5" x14ac:dyDescent="0.2">
      <c r="A19" s="10" t="s">
        <v>12</v>
      </c>
      <c r="B19" s="5">
        <v>2001</v>
      </c>
      <c r="C19" s="6">
        <v>3.9589999999999997E-4</v>
      </c>
      <c r="D19" s="5" t="s">
        <v>60</v>
      </c>
      <c r="E19" s="54" t="b">
        <v>1</v>
      </c>
    </row>
    <row r="20" spans="1:5" x14ac:dyDescent="0.2">
      <c r="A20" s="62" t="s">
        <v>18</v>
      </c>
      <c r="B20" s="64">
        <v>2001</v>
      </c>
      <c r="C20" s="63">
        <v>-1.5192999999999999E-3</v>
      </c>
      <c r="D20" s="64" t="s">
        <v>60</v>
      </c>
      <c r="E20" s="65" t="b">
        <v>1</v>
      </c>
    </row>
    <row r="21" spans="1:5" x14ac:dyDescent="0.2">
      <c r="A21" s="10" t="s">
        <v>19</v>
      </c>
      <c r="B21" s="5">
        <v>2001</v>
      </c>
      <c r="C21" s="6">
        <v>-1.3071000000000001E-3</v>
      </c>
      <c r="D21" s="5" t="s">
        <v>60</v>
      </c>
      <c r="E21" s="54" t="b">
        <v>1</v>
      </c>
    </row>
    <row r="22" spans="1:5" x14ac:dyDescent="0.2">
      <c r="A22" s="62" t="s">
        <v>20</v>
      </c>
      <c r="B22" s="64">
        <v>2001</v>
      </c>
      <c r="C22" s="63">
        <v>-1.3320000000000001E-3</v>
      </c>
      <c r="D22" s="64" t="s">
        <v>60</v>
      </c>
      <c r="E22" s="65" t="b">
        <v>1</v>
      </c>
    </row>
    <row r="23" spans="1:5" x14ac:dyDescent="0.2">
      <c r="A23" s="10" t="s">
        <v>21</v>
      </c>
      <c r="B23" s="5">
        <v>2001</v>
      </c>
      <c r="C23" s="6">
        <v>-1.0334999999999999E-3</v>
      </c>
      <c r="D23" s="5" t="s">
        <v>60</v>
      </c>
      <c r="E23" s="54" t="b">
        <v>1</v>
      </c>
    </row>
    <row r="24" spans="1:5" x14ac:dyDescent="0.2">
      <c r="A24" s="62" t="s">
        <v>22</v>
      </c>
      <c r="B24" s="64">
        <v>2001</v>
      </c>
      <c r="C24" s="63">
        <v>-8.7730000000000002E-4</v>
      </c>
      <c r="D24" s="64" t="s">
        <v>60</v>
      </c>
      <c r="E24" s="65" t="b">
        <v>1</v>
      </c>
    </row>
    <row r="25" spans="1:5" x14ac:dyDescent="0.2">
      <c r="A25" s="10" t="s">
        <v>40</v>
      </c>
      <c r="B25" s="5">
        <v>2001</v>
      </c>
      <c r="C25" s="6">
        <v>-2.5000000000000001E-3</v>
      </c>
      <c r="D25" s="5" t="s">
        <v>60</v>
      </c>
      <c r="E25" s="54" t="b">
        <v>1</v>
      </c>
    </row>
    <row r="26" spans="1:5" x14ac:dyDescent="0.2">
      <c r="A26" s="43" t="s">
        <v>39</v>
      </c>
      <c r="C26" s="18"/>
      <c r="D26" s="4"/>
      <c r="E26" s="19"/>
    </row>
    <row r="27" spans="1:5" ht="101.25" customHeight="1" x14ac:dyDescent="0.2">
      <c r="A27" s="447"/>
      <c r="B27" s="447"/>
      <c r="C27" s="447"/>
      <c r="D27" s="447"/>
      <c r="E27" s="447"/>
    </row>
    <row r="28" spans="1:5" ht="78" customHeight="1" x14ac:dyDescent="0.2">
      <c r="A28" s="447"/>
      <c r="B28" s="447"/>
      <c r="C28" s="447"/>
      <c r="D28" s="447"/>
      <c r="E28" s="447"/>
    </row>
    <row r="29" spans="1:5" ht="46.5" customHeight="1" x14ac:dyDescent="0.2">
      <c r="A29" s="447"/>
      <c r="B29" s="447"/>
      <c r="C29" s="447"/>
      <c r="D29" s="447"/>
      <c r="E29" s="447"/>
    </row>
    <row r="30" spans="1:5" ht="32.25" customHeight="1" x14ac:dyDescent="0.2">
      <c r="A30" s="446"/>
      <c r="B30" s="446"/>
      <c r="C30" s="446"/>
      <c r="D30" s="446"/>
      <c r="E30" s="446"/>
    </row>
    <row r="31" spans="1:5" ht="79.5" customHeight="1" x14ac:dyDescent="0.2">
      <c r="A31" s="447"/>
      <c r="B31" s="447"/>
      <c r="C31" s="447"/>
      <c r="D31" s="447"/>
      <c r="E31" s="447"/>
    </row>
    <row r="32" spans="1:5" ht="39" customHeight="1" x14ac:dyDescent="0.2">
      <c r="A32" s="446"/>
      <c r="B32" s="447"/>
      <c r="C32" s="447"/>
      <c r="D32" s="447"/>
      <c r="E32" s="447"/>
    </row>
    <row r="33" spans="1:5" ht="38.25" customHeight="1" x14ac:dyDescent="0.2">
      <c r="A33" s="446"/>
      <c r="B33" s="447"/>
      <c r="C33" s="447"/>
      <c r="D33" s="447"/>
      <c r="E33" s="447"/>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c r="Q1" s="180"/>
    </row>
    <row r="2" spans="1:30" ht="20.25" x14ac:dyDescent="0.3">
      <c r="A2" s="426" t="s">
        <v>245</v>
      </c>
      <c r="B2" s="426"/>
      <c r="C2" s="426"/>
      <c r="D2" s="426"/>
      <c r="E2" s="426"/>
      <c r="F2" s="426"/>
      <c r="G2" s="426"/>
      <c r="H2" s="426"/>
      <c r="I2" s="426"/>
      <c r="J2" s="426"/>
      <c r="K2" s="426"/>
      <c r="L2" s="426"/>
      <c r="M2" s="426"/>
      <c r="N2" s="426"/>
      <c r="O2" s="426"/>
      <c r="P2" s="426"/>
      <c r="Q2" s="174"/>
    </row>
    <row r="3" spans="1:30" ht="18" x14ac:dyDescent="0.25">
      <c r="A3" s="411" t="s">
        <v>95</v>
      </c>
      <c r="B3" s="411"/>
      <c r="C3" s="411"/>
      <c r="D3" s="411"/>
      <c r="E3" s="411"/>
      <c r="F3" s="411"/>
      <c r="G3" s="411"/>
      <c r="H3" s="411"/>
      <c r="I3" s="411"/>
      <c r="J3" s="411"/>
      <c r="K3" s="411"/>
      <c r="L3" s="411"/>
      <c r="M3" s="411"/>
      <c r="N3" s="411"/>
      <c r="O3" s="411"/>
      <c r="P3" s="411"/>
      <c r="Q3" s="175"/>
    </row>
    <row r="4" spans="1:30" ht="15.75" x14ac:dyDescent="0.25">
      <c r="A4" s="411"/>
      <c r="B4" s="411"/>
      <c r="C4" s="411"/>
      <c r="D4" s="411"/>
      <c r="E4" s="411"/>
      <c r="F4" s="411"/>
      <c r="G4" s="411"/>
      <c r="H4" s="411"/>
      <c r="I4" s="411"/>
      <c r="J4" s="411"/>
      <c r="K4" s="411"/>
      <c r="L4" s="411"/>
      <c r="M4" s="411"/>
      <c r="N4" s="411"/>
      <c r="O4" s="411"/>
      <c r="P4" s="411"/>
      <c r="Q4" s="176"/>
    </row>
    <row r="5" spans="1:30" x14ac:dyDescent="0.2">
      <c r="A5" s="69">
        <f ca="1">TODAY()</f>
        <v>46051</v>
      </c>
      <c r="B5" s="418" t="s">
        <v>247</v>
      </c>
      <c r="C5" s="418"/>
      <c r="D5" s="418"/>
      <c r="E5" s="418"/>
      <c r="F5" s="418"/>
      <c r="G5" s="418"/>
      <c r="H5" s="418"/>
      <c r="I5" s="418"/>
      <c r="J5" s="418"/>
      <c r="K5" s="418"/>
      <c r="L5" s="418"/>
      <c r="M5" s="418"/>
      <c r="N5" s="418"/>
      <c r="O5" s="418"/>
    </row>
    <row r="6" spans="1:30" x14ac:dyDescent="0.2">
      <c r="A6" s="409" t="s">
        <v>15</v>
      </c>
      <c r="B6" s="409"/>
      <c r="C6" s="409"/>
      <c r="D6" s="409"/>
      <c r="E6" s="409"/>
      <c r="F6" s="409"/>
      <c r="G6" s="409"/>
      <c r="H6" s="409"/>
      <c r="I6" s="409"/>
      <c r="J6" s="409"/>
      <c r="K6" s="409"/>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2</v>
      </c>
      <c r="C10" s="171" t="str">
        <f>LOOKUP(B10,S11:AD11,S12:AD12)</f>
        <v>February</v>
      </c>
      <c r="D10" s="116">
        <f>'Customer Info'!C9</f>
        <v>2026</v>
      </c>
    </row>
    <row r="11" spans="1:30" x14ac:dyDescent="0.2">
      <c r="A11" s="424"/>
      <c r="B11" s="424"/>
      <c r="C11" s="424"/>
      <c r="D11" s="424"/>
      <c r="E11" s="424"/>
      <c r="F11" s="424"/>
      <c r="G11" s="424"/>
      <c r="H11" s="424"/>
      <c r="I11" s="424"/>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0" t="s">
        <v>68</v>
      </c>
      <c r="H17" s="421"/>
      <c r="I17" s="421"/>
      <c r="J17" s="422"/>
      <c r="K17" s="20"/>
      <c r="L17" s="423" t="s">
        <v>69</v>
      </c>
      <c r="M17" s="423"/>
      <c r="N17" s="423"/>
      <c r="O17" s="423"/>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5" si="0">SUM(G25:I25)</f>
        <v>5.5215000000000004E-3</v>
      </c>
      <c r="K25" s="94" t="s">
        <v>42</v>
      </c>
      <c r="L25" s="95"/>
      <c r="M25" s="95"/>
      <c r="N25" s="95">
        <f t="shared" ref="N25:N30" si="1">ROUND(D25*I25,2)</f>
        <v>0</v>
      </c>
      <c r="O25" s="95">
        <f t="shared" ref="O25:O30"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251">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ref="O31:O37"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192</v>
      </c>
      <c r="B33" s="70"/>
      <c r="C33" s="70"/>
      <c r="D33" s="90">
        <f>'Customer Info'!$B$21+'Customer Info'!$B$22-'Customer Info'!$B$23</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161</v>
      </c>
      <c r="B34" s="70"/>
      <c r="C34" s="70"/>
      <c r="D34" s="90">
        <f>'Customer Info'!$B$21+'Customer Info'!$B$22-'Customer Info'!$B$23</f>
        <v>0</v>
      </c>
      <c r="E34" s="91" t="s">
        <v>41</v>
      </c>
      <c r="F34" s="92" t="s">
        <v>8</v>
      </c>
      <c r="G34" s="93">
        <f>'Rider Rates'!$B$28</f>
        <v>2.298E-2</v>
      </c>
      <c r="H34" s="93"/>
      <c r="I34" s="93"/>
      <c r="J34" s="213">
        <f>SUM(G34:H34)</f>
        <v>2.298E-2</v>
      </c>
      <c r="K34" s="94" t="s">
        <v>42</v>
      </c>
      <c r="L34" s="95">
        <f>ROUND(D34*G34,2)</f>
        <v>0</v>
      </c>
      <c r="M34" s="95"/>
      <c r="N34" s="95"/>
      <c r="O34" s="95">
        <f t="shared" si="3"/>
        <v>0</v>
      </c>
      <c r="P34" s="220">
        <f>'Rider Rates'!$D$28</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193</v>
      </c>
      <c r="B35" s="70"/>
      <c r="C35" s="70"/>
      <c r="D35" s="90">
        <f>'Customer Info'!$B$21+'Customer Info'!$B$22-'Customer Info'!$B$23</f>
        <v>0</v>
      </c>
      <c r="E35" s="91" t="s">
        <v>41</v>
      </c>
      <c r="F35" s="92" t="s">
        <v>8</v>
      </c>
      <c r="G35" s="93">
        <f>'Rider Rates'!B45</f>
        <v>2.7588999999999999E-3</v>
      </c>
      <c r="H35" s="93"/>
      <c r="I35" s="93"/>
      <c r="J35" s="213">
        <f>SUM(G35:H35)</f>
        <v>2.7588999999999999E-3</v>
      </c>
      <c r="K35" s="94" t="s">
        <v>42</v>
      </c>
      <c r="L35" s="95">
        <f>ROUND(D35*G35,2)</f>
        <v>0</v>
      </c>
      <c r="M35" s="95"/>
      <c r="N35" s="95"/>
      <c r="O35" s="95">
        <f>SUM(L35:N35)</f>
        <v>0</v>
      </c>
      <c r="P35" s="220">
        <f>'Rider Rates'!$D$45</f>
        <v>46022</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70" t="s">
        <v>210</v>
      </c>
      <c r="B36" s="70"/>
      <c r="C36" s="70"/>
      <c r="D36" s="90"/>
      <c r="E36" s="91" t="s">
        <v>115</v>
      </c>
      <c r="F36" s="92"/>
      <c r="G36" s="93"/>
      <c r="H36" s="93"/>
      <c r="I36" s="93">
        <f>'Rider Rates'!D48</f>
        <v>0</v>
      </c>
      <c r="J36" s="93">
        <f>SUM(G36:I36)</f>
        <v>0</v>
      </c>
      <c r="K36" s="94" t="s">
        <v>42</v>
      </c>
      <c r="L36" s="95"/>
      <c r="M36" s="95"/>
      <c r="N36" s="95">
        <f>J36</f>
        <v>0</v>
      </c>
      <c r="O36" s="95">
        <f>SUM(L36:N36)</f>
        <v>0</v>
      </c>
      <c r="P36" s="220">
        <f>'Rider Rates'!E48</f>
        <v>45883</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189</v>
      </c>
      <c r="B37" s="70"/>
      <c r="C37" s="70"/>
      <c r="D37" s="90">
        <f>IF($C$14&lt;0,0,$C$14)</f>
        <v>0</v>
      </c>
      <c r="E37" s="91" t="s">
        <v>41</v>
      </c>
      <c r="F37" s="92" t="s">
        <v>8</v>
      </c>
      <c r="G37" s="93"/>
      <c r="H37" s="93">
        <f>'Rider Rates'!$B$55</f>
        <v>3.55042E-2</v>
      </c>
      <c r="I37" s="93"/>
      <c r="J37" s="93">
        <f>SUM(G37:I37)</f>
        <v>3.55042E-2</v>
      </c>
      <c r="K37" s="94" t="s">
        <v>42</v>
      </c>
      <c r="L37" s="95"/>
      <c r="M37" s="95">
        <f>ROUND(D37*H37,2)</f>
        <v>0</v>
      </c>
      <c r="N37" s="182"/>
      <c r="O37" s="95">
        <f t="shared" si="3"/>
        <v>0</v>
      </c>
      <c r="P37" s="220">
        <f>'Rider Rates'!$D$55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337</v>
      </c>
      <c r="B38" s="70"/>
      <c r="C38" s="70"/>
      <c r="D38" s="90">
        <f>IF($C$14&lt;0,0,$C$14)</f>
        <v>0</v>
      </c>
      <c r="E38" s="91" t="s">
        <v>41</v>
      </c>
      <c r="F38" s="92" t="s">
        <v>8</v>
      </c>
      <c r="G38" s="93"/>
      <c r="H38" s="93"/>
      <c r="I38" s="93">
        <f>'Rider Rates'!$B$66</f>
        <v>7.3870000000000001E-4</v>
      </c>
      <c r="J38" s="93">
        <f t="shared" ref="J38" si="4">SUM(G38:I38)</f>
        <v>7.3870000000000001E-4</v>
      </c>
      <c r="K38" s="94" t="s">
        <v>42</v>
      </c>
      <c r="L38" s="95"/>
      <c r="M38" s="95"/>
      <c r="N38" s="95">
        <f>ROUND($D$38*'Rider Rates'!$B$66,2)</f>
        <v>0</v>
      </c>
      <c r="O38" s="95">
        <f>SUM(L38:N38)</f>
        <v>0</v>
      </c>
      <c r="P38" s="220">
        <f>'Rider Rates'!$D$66</f>
        <v>45747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Info'!C34=TRUE,0,IF($C$14&lt;0,0,$C$14))</f>
        <v>0</v>
      </c>
      <c r="E39" s="91" t="s">
        <v>41</v>
      </c>
      <c r="F39" s="92" t="s">
        <v>8</v>
      </c>
      <c r="G39" s="93"/>
      <c r="H39" s="93"/>
      <c r="I39" s="93">
        <f>'Rider Rates'!$B$69+'Rider Rates'!$C$69</f>
        <v>0</v>
      </c>
      <c r="J39" s="93">
        <f t="shared" si="0"/>
        <v>0</v>
      </c>
      <c r="K39" s="94" t="s">
        <v>42</v>
      </c>
      <c r="L39" s="95"/>
      <c r="M39" s="95"/>
      <c r="N39" s="95">
        <f>ROUND($D$39*'Rider Rates'!$B$69,2)+ROUND($D$39*'Rider Rates'!$C$69,2)</f>
        <v>0</v>
      </c>
      <c r="O39" s="95">
        <f>SUM(L39:N39)</f>
        <v>0</v>
      </c>
      <c r="P39" s="220">
        <f>'Rider Rates'!$D$69</f>
        <v>45444</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81</v>
      </c>
      <c r="B40" s="70"/>
      <c r="C40" s="70"/>
      <c r="D40" s="172">
        <f>$N$21</f>
        <v>10</v>
      </c>
      <c r="E40" s="91" t="s">
        <v>122</v>
      </c>
      <c r="F40" s="92" t="s">
        <v>8</v>
      </c>
      <c r="G40" s="99"/>
      <c r="H40" s="5"/>
      <c r="I40" s="106">
        <f>'Rider Rates'!$B$85</f>
        <v>3.5344300000000002E-2</v>
      </c>
      <c r="J40" s="106">
        <f t="shared" si="0"/>
        <v>3.5344300000000002E-2</v>
      </c>
      <c r="K40" s="94"/>
      <c r="L40" s="95"/>
      <c r="M40" s="95"/>
      <c r="N40" s="95">
        <f>ROUND(D40*I40,2)</f>
        <v>0.35</v>
      </c>
      <c r="O40" s="95">
        <f>SUM(L40:N40)</f>
        <v>0.35</v>
      </c>
      <c r="P40" s="220">
        <f>'Rider Rates'!$D$85</f>
        <v>45929</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82</v>
      </c>
      <c r="B41" s="70"/>
      <c r="C41" s="70"/>
      <c r="D41" s="172">
        <f>$N$21</f>
        <v>10</v>
      </c>
      <c r="E41" s="91" t="s">
        <v>122</v>
      </c>
      <c r="F41" s="92" t="s">
        <v>8</v>
      </c>
      <c r="G41" s="100"/>
      <c r="H41" s="101"/>
      <c r="I41" s="106">
        <f>'Rider Rates'!$B$87</f>
        <v>7.8822199999999995E-2</v>
      </c>
      <c r="J41" s="106">
        <f t="shared" si="0"/>
        <v>7.8822199999999995E-2</v>
      </c>
      <c r="K41" s="94"/>
      <c r="L41" s="95"/>
      <c r="M41" s="95"/>
      <c r="N41" s="95">
        <f>ROUND(D41*I41,2)</f>
        <v>0.79</v>
      </c>
      <c r="O41" s="95">
        <f>SUM(L41:N41)</f>
        <v>0.79</v>
      </c>
      <c r="P41" s="220">
        <f>'Rider Rates'!$D$87</f>
        <v>45987</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206</v>
      </c>
      <c r="B42" s="70"/>
      <c r="C42" s="70"/>
      <c r="D42" s="172"/>
      <c r="E42" s="91" t="s">
        <v>115</v>
      </c>
      <c r="F42" s="92"/>
      <c r="G42" s="100"/>
      <c r="H42" s="101"/>
      <c r="I42" s="173">
        <f>'Rider Rates'!$B$90</f>
        <v>2.62</v>
      </c>
      <c r="J42" s="173">
        <f t="shared" si="0"/>
        <v>2.62</v>
      </c>
      <c r="K42" s="94"/>
      <c r="L42" s="95"/>
      <c r="M42" s="95"/>
      <c r="N42" s="95">
        <f>I42</f>
        <v>2.62</v>
      </c>
      <c r="O42" s="95">
        <f>SUM(L42:N42)</f>
        <v>2.62</v>
      </c>
      <c r="P42" s="220">
        <f>'Rider Rates'!$D$90</f>
        <v>46022</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239</v>
      </c>
      <c r="B43" s="70"/>
      <c r="C43" s="70"/>
      <c r="D43" s="90">
        <f>IF($C$14&lt;0,0,$C$14)</f>
        <v>0</v>
      </c>
      <c r="E43" s="91" t="s">
        <v>41</v>
      </c>
      <c r="F43" s="92" t="s">
        <v>8</v>
      </c>
      <c r="G43" s="93"/>
      <c r="H43" s="93"/>
      <c r="I43" s="93"/>
      <c r="J43" s="93">
        <f>'Rider Rates'!$B$94</f>
        <v>0</v>
      </c>
      <c r="K43" s="94" t="s">
        <v>42</v>
      </c>
      <c r="L43" s="95"/>
      <c r="M43" s="95"/>
      <c r="N43" s="95"/>
      <c r="O43" s="95">
        <f>ROUND($D43*('Rider Rates'!B$94),2)</f>
        <v>0</v>
      </c>
      <c r="P43" s="220">
        <f>'Rider Rates'!$D$94</f>
        <v>44531</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10</v>
      </c>
      <c r="E44" s="91" t="s">
        <v>122</v>
      </c>
      <c r="F44" s="92" t="s">
        <v>8</v>
      </c>
      <c r="G44" s="100"/>
      <c r="H44" s="101"/>
      <c r="I44" s="106">
        <f>'Rider Rates'!$B$105</f>
        <v>0.24079249999999999</v>
      </c>
      <c r="J44" s="106">
        <f t="shared" si="0"/>
        <v>0.24079249999999999</v>
      </c>
      <c r="K44" s="94"/>
      <c r="L44" s="95"/>
      <c r="M44" s="95"/>
      <c r="N44" s="95">
        <f>ROUND(D44*I44,2)</f>
        <v>2.41</v>
      </c>
      <c r="O44" s="95">
        <f t="shared" ref="O44:O48" si="5">SUM(L44:N44)</f>
        <v>2.41</v>
      </c>
      <c r="P44" s="220">
        <f>'Rider Rates'!$D$105</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217</v>
      </c>
      <c r="B45" s="70"/>
      <c r="C45" s="70"/>
      <c r="D45" s="172"/>
      <c r="E45" s="91" t="s">
        <v>115</v>
      </c>
      <c r="F45" s="92"/>
      <c r="G45" s="100"/>
      <c r="H45" s="101"/>
      <c r="I45" s="233">
        <f>'Rider Rates'!B121</f>
        <v>0.2</v>
      </c>
      <c r="J45" s="173">
        <f t="shared" si="0"/>
        <v>0.2</v>
      </c>
      <c r="K45" s="94"/>
      <c r="L45" s="95"/>
      <c r="M45" s="95"/>
      <c r="N45" s="235">
        <f>I45</f>
        <v>0.2</v>
      </c>
      <c r="O45" s="95">
        <f t="shared" si="5"/>
        <v>0.2</v>
      </c>
      <c r="P45" s="220">
        <f>'Rider Rates'!D121</f>
        <v>45958</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Info'!$B$22-'Customer Info'!$B$23</f>
        <v>0</v>
      </c>
      <c r="E46" s="91" t="s">
        <v>41</v>
      </c>
      <c r="F46" s="92" t="s">
        <v>8</v>
      </c>
      <c r="G46" s="93">
        <f>'Rider Rates'!$B$112</f>
        <v>3.8972999999999998E-3</v>
      </c>
      <c r="H46" s="93"/>
      <c r="I46" s="106"/>
      <c r="J46" s="213">
        <f>SUM(G46:H46)</f>
        <v>3.8972999999999998E-3</v>
      </c>
      <c r="K46" s="94" t="s">
        <v>42</v>
      </c>
      <c r="L46" s="95">
        <f>ROUND(D46*G46,2)</f>
        <v>0</v>
      </c>
      <c r="M46" s="95"/>
      <c r="N46" s="95"/>
      <c r="O46" s="95">
        <f t="shared" si="5"/>
        <v>0</v>
      </c>
      <c r="P46" s="220">
        <f>'Rider Rates'!$D$112</f>
        <v>44531</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IF($C$14&lt;1,0,$C$14)</f>
        <v>0</v>
      </c>
      <c r="E47" s="91" t="s">
        <v>41</v>
      </c>
      <c r="F47" s="224" t="s">
        <v>8</v>
      </c>
      <c r="G47" s="93"/>
      <c r="H47" s="93"/>
      <c r="I47" s="213">
        <f>'Rider Rates'!$B$117</f>
        <v>0</v>
      </c>
      <c r="J47" s="213">
        <f>SUM(G47:I47)</f>
        <v>0</v>
      </c>
      <c r="K47" s="94" t="s">
        <v>42</v>
      </c>
      <c r="L47" s="95"/>
      <c r="M47" s="95"/>
      <c r="N47" s="95">
        <f>D47*J47</f>
        <v>0</v>
      </c>
      <c r="O47" s="95">
        <f t="shared" si="5"/>
        <v>0</v>
      </c>
      <c r="P47" s="220">
        <f>'Rider Rates'!D117</f>
        <v>45657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230</v>
      </c>
      <c r="B48" s="70"/>
      <c r="C48" s="70"/>
      <c r="D48" s="90"/>
      <c r="E48" s="91" t="s">
        <v>115</v>
      </c>
      <c r="F48" s="92" t="s">
        <v>8</v>
      </c>
      <c r="G48" s="238"/>
      <c r="H48" s="238"/>
      <c r="I48" s="238">
        <f>'Rider Rates'!$B$125</f>
        <v>0</v>
      </c>
      <c r="J48" s="238">
        <f>SUM(G48:I48)</f>
        <v>0</v>
      </c>
      <c r="K48" s="94"/>
      <c r="L48" s="186"/>
      <c r="M48" s="186"/>
      <c r="N48" s="186">
        <f>J48</f>
        <v>0</v>
      </c>
      <c r="O48" s="186">
        <f t="shared" si="5"/>
        <v>0</v>
      </c>
      <c r="P48" s="239">
        <f>'Rider Rates'!$E$125</f>
        <v>45883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242</v>
      </c>
      <c r="B49" s="70"/>
      <c r="C49" s="70"/>
      <c r="D49" s="90">
        <f>C14</f>
        <v>0</v>
      </c>
      <c r="E49" s="91" t="s">
        <v>41</v>
      </c>
      <c r="F49" s="224" t="s">
        <v>8</v>
      </c>
      <c r="G49" s="93"/>
      <c r="H49" s="93"/>
      <c r="I49" s="93">
        <f>'Rider Rates'!$B$130</f>
        <v>0</v>
      </c>
      <c r="J49" s="213">
        <f>SUM(G49:I49)</f>
        <v>0</v>
      </c>
      <c r="K49" s="94" t="s">
        <v>42</v>
      </c>
      <c r="L49" s="95"/>
      <c r="M49" s="95"/>
      <c r="N49" s="95">
        <f>D49*J49</f>
        <v>0</v>
      </c>
      <c r="O49" s="95">
        <f>SUM(L49:N49)</f>
        <v>0</v>
      </c>
      <c r="P49" s="220">
        <f>'Rider Rates'!D130</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241</v>
      </c>
      <c r="B50" s="70"/>
      <c r="C50" s="70"/>
      <c r="D50" s="90"/>
      <c r="E50" s="91" t="s">
        <v>115</v>
      </c>
      <c r="F50" s="92" t="s">
        <v>8</v>
      </c>
      <c r="G50" s="238"/>
      <c r="H50" s="238"/>
      <c r="I50" s="238">
        <f>'Rider Rates'!$B$137</f>
        <v>0</v>
      </c>
      <c r="J50" s="238">
        <f>SUM(G50:I50)</f>
        <v>0</v>
      </c>
      <c r="K50" s="94"/>
      <c r="L50" s="186"/>
      <c r="M50" s="186"/>
      <c r="N50" s="186">
        <f>J50</f>
        <v>0</v>
      </c>
      <c r="O50" s="186">
        <f>SUM(L50:N50)</f>
        <v>0</v>
      </c>
      <c r="P50" s="239">
        <f>'Rider Rates'!$D$133</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243</v>
      </c>
      <c r="B51" s="70"/>
      <c r="C51" s="70"/>
      <c r="D51" s="90"/>
      <c r="E51" s="91"/>
      <c r="F51" s="92"/>
      <c r="G51" s="238"/>
      <c r="H51" s="238"/>
      <c r="I51" s="238"/>
      <c r="J51" s="238"/>
      <c r="K51" s="94"/>
      <c r="L51" s="186"/>
      <c r="M51" s="186"/>
      <c r="N51" s="186"/>
      <c r="O51" s="186"/>
      <c r="P51" s="239"/>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56" t="s">
        <v>71</v>
      </c>
      <c r="B52" s="130"/>
      <c r="C52" s="130"/>
      <c r="D52" s="157"/>
      <c r="E52" s="158"/>
      <c r="F52" s="159"/>
      <c r="G52" s="159"/>
      <c r="H52" s="159"/>
      <c r="I52" s="159"/>
      <c r="J52" s="159"/>
      <c r="K52" s="160"/>
      <c r="L52" s="147">
        <f>SUM(L25:L51)</f>
        <v>0</v>
      </c>
      <c r="M52" s="147">
        <f t="shared" ref="M52:O52" si="6">SUM(M25:M51)</f>
        <v>0</v>
      </c>
      <c r="N52" s="147">
        <f t="shared" si="6"/>
        <v>6.37</v>
      </c>
      <c r="O52" s="147">
        <f t="shared" si="6"/>
        <v>6.37</v>
      </c>
      <c r="P52" s="161"/>
      <c r="Q52" s="92"/>
      <c r="R52" s="144"/>
      <c r="S52" s="144"/>
      <c r="T52" s="166"/>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90"/>
      <c r="E53" s="91"/>
      <c r="F53" s="92"/>
      <c r="G53" s="92"/>
      <c r="H53" s="92"/>
      <c r="I53" s="92"/>
      <c r="J53" s="96"/>
      <c r="K53" s="94"/>
      <c r="L53" s="92"/>
      <c r="M53" s="92"/>
      <c r="N53" s="92"/>
      <c r="O53" s="92"/>
      <c r="P53" s="142"/>
      <c r="Q53" s="92"/>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48"/>
      <c r="B54" s="148"/>
      <c r="C54" s="148"/>
      <c r="D54" s="148"/>
      <c r="E54" s="148"/>
      <c r="F54" s="148"/>
      <c r="G54" s="148"/>
      <c r="H54" s="148"/>
      <c r="I54" s="148"/>
      <c r="J54" s="148"/>
      <c r="K54" s="148"/>
      <c r="L54" s="163">
        <f>L21+L52</f>
        <v>0</v>
      </c>
      <c r="M54" s="163">
        <f>M21+M52</f>
        <v>0</v>
      </c>
      <c r="N54" s="163">
        <f>N21+N52</f>
        <v>16.37</v>
      </c>
      <c r="O54" s="164">
        <f>O21+O52</f>
        <v>16.37</v>
      </c>
      <c r="P54" s="164"/>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70"/>
      <c r="E55" s="70"/>
      <c r="F55" s="70"/>
      <c r="G55" s="70"/>
      <c r="H55" s="70"/>
      <c r="I55" s="70"/>
      <c r="J55" s="70"/>
      <c r="K55" s="70"/>
      <c r="L55" s="70"/>
      <c r="M55" s="70"/>
      <c r="N55" s="70"/>
      <c r="O55" s="70"/>
      <c r="P55" s="70"/>
      <c r="Q55" s="144"/>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93</v>
      </c>
      <c r="B56" s="70"/>
      <c r="C56" s="70"/>
      <c r="D56" s="70"/>
      <c r="E56" s="70"/>
      <c r="F56" s="70"/>
      <c r="G56" s="70"/>
      <c r="H56" s="70"/>
      <c r="I56" s="70"/>
      <c r="J56" s="70"/>
      <c r="K56" s="70"/>
      <c r="L56" s="70"/>
      <c r="M56" s="70"/>
      <c r="N56" s="70"/>
      <c r="O56" s="97">
        <f>IF($C$14&lt;=0,MIN(O19,O54), O19)</f>
        <v>10</v>
      </c>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144"/>
      <c r="C57" s="144"/>
      <c r="D57" s="144"/>
      <c r="E57" s="144"/>
      <c r="F57" s="144"/>
      <c r="G57" s="144"/>
      <c r="H57" s="14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30" t="s">
        <v>117</v>
      </c>
      <c r="B58" s="70"/>
      <c r="C58" s="70"/>
      <c r="D58" s="70"/>
      <c r="E58" s="70"/>
      <c r="F58" s="70"/>
      <c r="G58" s="70"/>
      <c r="H58" s="70"/>
      <c r="I58" s="70"/>
      <c r="J58" s="70"/>
      <c r="K58" s="70"/>
      <c r="L58" s="70"/>
      <c r="M58" s="70"/>
      <c r="N58" s="70"/>
      <c r="O58" s="167">
        <f>IF($C$14&lt;0,O54,IF(O54&gt;O56,O54,I53))</f>
        <v>16.37</v>
      </c>
      <c r="P58" s="92"/>
      <c r="Q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121"/>
      <c r="P59" s="92"/>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70"/>
      <c r="B60" s="144"/>
      <c r="C60" s="144"/>
      <c r="D60" s="144"/>
      <c r="E60" s="144"/>
      <c r="F60" s="144"/>
      <c r="G60" s="144"/>
      <c r="H60" s="144"/>
      <c r="I60" s="144" t="s">
        <v>121</v>
      </c>
      <c r="J60" s="144"/>
      <c r="K60" s="144"/>
      <c r="L60" s="168"/>
      <c r="M60" s="168"/>
      <c r="N60" s="168"/>
      <c r="O60" s="168">
        <f>ROUND(IF($C$14&lt;1,0,O54/($C$14*100)*10000),2)</f>
        <v>0</v>
      </c>
      <c r="P60" s="33" t="s">
        <v>87</v>
      </c>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row>
    <row r="61" spans="1:236" x14ac:dyDescent="0.2">
      <c r="A61" s="70"/>
      <c r="B61" s="70"/>
      <c r="C61" s="70"/>
      <c r="D61" s="70"/>
      <c r="E61" s="70"/>
      <c r="F61" s="70"/>
      <c r="G61" s="70"/>
      <c r="H61" s="169"/>
      <c r="I61" s="217" t="s">
        <v>190</v>
      </c>
      <c r="J61" s="70"/>
      <c r="K61" s="70"/>
      <c r="L61" s="70"/>
      <c r="M61" s="70"/>
      <c r="N61" s="70"/>
      <c r="O61" s="218">
        <f>ROUND(IF($C$14&lt;1,0,(L54)/($C$14*100)*10000),2)</f>
        <v>0</v>
      </c>
      <c r="P61" s="23" t="s">
        <v>87</v>
      </c>
      <c r="Q61" s="70"/>
      <c r="AE61" s="70"/>
      <c r="AF61" s="70"/>
      <c r="AG61" s="70"/>
      <c r="AH61" s="70"/>
      <c r="AI61" s="70"/>
      <c r="AJ61" s="70"/>
      <c r="AK61" s="70"/>
      <c r="AL61" s="70"/>
      <c r="AM61" s="70"/>
      <c r="AN61" s="70"/>
      <c r="AO61" s="70"/>
      <c r="AP61" s="70"/>
      <c r="AQ61" s="70"/>
      <c r="AR61" s="70"/>
      <c r="AS61" s="70"/>
      <c r="AT61" s="70"/>
      <c r="HE61" s="70"/>
      <c r="HF61" s="70"/>
      <c r="HG61" s="70"/>
      <c r="HH61" s="70"/>
      <c r="HI61" s="70"/>
      <c r="HJ61" s="70"/>
      <c r="HK61" s="70"/>
      <c r="HL61" s="70"/>
      <c r="HM61" s="70"/>
      <c r="HN61" s="70"/>
    </row>
    <row r="62" spans="1:236" x14ac:dyDescent="0.2">
      <c r="A62" s="70"/>
    </row>
    <row r="63" spans="1:236" x14ac:dyDescent="0.2">
      <c r="A63" s="70"/>
    </row>
    <row r="64" spans="1:236" x14ac:dyDescent="0.2">
      <c r="A64" s="70"/>
    </row>
    <row r="65" spans="1:1" x14ac:dyDescent="0.2">
      <c r="A65" s="70"/>
    </row>
    <row r="66" spans="1:1" x14ac:dyDescent="0.2">
      <c r="A66" s="70"/>
    </row>
    <row r="67" spans="1:1" x14ac:dyDescent="0.2">
      <c r="A67" s="70"/>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0" t="s">
        <v>120</v>
      </c>
      <c r="B1" s="410"/>
      <c r="C1" s="410"/>
      <c r="D1" s="410"/>
      <c r="E1" s="410"/>
      <c r="F1" s="410"/>
      <c r="G1" s="410"/>
      <c r="H1" s="410"/>
      <c r="I1" s="410"/>
      <c r="J1" s="410"/>
      <c r="K1" s="410"/>
      <c r="L1" s="410"/>
      <c r="M1" s="410"/>
      <c r="N1" s="410"/>
      <c r="O1" s="410"/>
      <c r="P1" s="410"/>
      <c r="Q1" s="174"/>
    </row>
    <row r="2" spans="1:59" ht="20.25" x14ac:dyDescent="0.3">
      <c r="A2" s="410" t="s">
        <v>277</v>
      </c>
      <c r="B2" s="410"/>
      <c r="C2" s="410"/>
      <c r="D2" s="410"/>
      <c r="E2" s="410"/>
      <c r="F2" s="410"/>
      <c r="G2" s="410"/>
      <c r="H2" s="410"/>
      <c r="I2" s="410"/>
      <c r="J2" s="410"/>
      <c r="K2" s="410"/>
      <c r="L2" s="410"/>
      <c r="M2" s="410"/>
      <c r="N2" s="410"/>
      <c r="O2" s="410"/>
      <c r="P2" s="410"/>
    </row>
    <row r="3" spans="1:59" ht="18" x14ac:dyDescent="0.25">
      <c r="A3" s="426" t="s">
        <v>116</v>
      </c>
      <c r="B3" s="426"/>
      <c r="C3" s="426"/>
      <c r="D3" s="426"/>
      <c r="E3" s="426"/>
      <c r="F3" s="426"/>
      <c r="G3" s="426"/>
      <c r="H3" s="426"/>
      <c r="I3" s="426"/>
      <c r="J3" s="426"/>
      <c r="K3" s="426"/>
      <c r="L3" s="426"/>
      <c r="M3" s="426"/>
      <c r="N3" s="426"/>
      <c r="O3" s="426"/>
      <c r="P3" s="426"/>
      <c r="Q3" s="175"/>
    </row>
    <row r="4" spans="1:59"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46051</v>
      </c>
      <c r="B6" s="418" t="s">
        <v>220</v>
      </c>
      <c r="C6" s="418"/>
      <c r="D6" s="418"/>
      <c r="E6" s="418"/>
      <c r="F6" s="418"/>
      <c r="G6" s="418"/>
      <c r="H6" s="418"/>
      <c r="I6" s="418"/>
      <c r="J6" s="418"/>
      <c r="K6" s="418"/>
      <c r="L6" s="418"/>
      <c r="M6" s="418"/>
      <c r="N6" s="418"/>
      <c r="O6" s="418"/>
    </row>
    <row r="7" spans="1:59" x14ac:dyDescent="0.2">
      <c r="A7" s="409" t="s">
        <v>15</v>
      </c>
      <c r="B7" s="409"/>
      <c r="C7" s="409"/>
      <c r="D7" s="409"/>
      <c r="E7" s="409"/>
      <c r="F7" s="409"/>
      <c r="G7" s="409"/>
      <c r="H7" s="409"/>
      <c r="I7" s="409"/>
      <c r="J7" s="409"/>
      <c r="K7" s="409"/>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2</v>
      </c>
      <c r="C11" s="171" t="str">
        <f>LOOKUP($B$11,$S$11:$AD$11,S12:AD12)</f>
        <v>February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t="s">
        <v>175</v>
      </c>
      <c r="S13" s="221" t="e">
        <f>'Rider Rates'!#REF!</f>
        <v>#REF!</v>
      </c>
      <c r="T13" s="221" t="e">
        <f>'Rider Rates'!#REF!</f>
        <v>#REF!</v>
      </c>
      <c r="U13" s="221" t="e">
        <f>'Rider Rates'!#REF!</f>
        <v>#REF!</v>
      </c>
      <c r="V13" s="221" t="e">
        <f>'Rider Rates'!#REF!</f>
        <v>#REF!</v>
      </c>
      <c r="W13" s="221" t="e">
        <f>'Rider Rates'!#REF!</f>
        <v>#REF!</v>
      </c>
      <c r="X13" s="221" t="e">
        <f>'Rider Rates'!#REF!</f>
        <v>#REF!</v>
      </c>
      <c r="Y13" s="221" t="e">
        <f>'Rider Rates'!#REF!</f>
        <v>#REF!</v>
      </c>
      <c r="Z13" s="221" t="e">
        <f>'Rider Rates'!#REF!</f>
        <v>#REF!</v>
      </c>
      <c r="AA13" s="221" t="e">
        <f>'Rider Rates'!#REF!</f>
        <v>#REF!</v>
      </c>
      <c r="AB13" s="221" t="e">
        <f>'Rider Rates'!#REF!</f>
        <v>#REF!</v>
      </c>
      <c r="AC13" s="221" t="e">
        <f>'Rider Rates'!#REF!</f>
        <v>#REF!</v>
      </c>
      <c r="AD13" s="221" t="e">
        <f>'Rider Rates'!#REF!</f>
        <v>#REF!</v>
      </c>
      <c r="AE13" s="70"/>
    </row>
    <row r="14" spans="1:59" x14ac:dyDescent="0.2">
      <c r="A14" s="70"/>
      <c r="B14" s="70"/>
      <c r="C14" s="70"/>
      <c r="D14" s="70"/>
      <c r="E14" s="70"/>
      <c r="F14" s="70"/>
      <c r="G14" s="122" t="s">
        <v>15</v>
      </c>
      <c r="H14" s="122"/>
      <c r="I14" s="133" t="s">
        <v>15</v>
      </c>
      <c r="J14" s="70"/>
      <c r="K14" s="70"/>
      <c r="L14" s="70"/>
      <c r="M14" s="70"/>
      <c r="N14" s="70"/>
      <c r="O14" s="70"/>
      <c r="P14" s="70"/>
      <c r="Q14" s="70"/>
      <c r="R14" s="70" t="s">
        <v>176</v>
      </c>
      <c r="S14" s="221" t="e">
        <f>'Rider Rates'!#REF!</f>
        <v>#REF!</v>
      </c>
      <c r="T14" s="221" t="e">
        <f>'Rider Rates'!#REF!</f>
        <v>#REF!</v>
      </c>
      <c r="U14" s="221" t="e">
        <f>'Rider Rates'!#REF!</f>
        <v>#REF!</v>
      </c>
      <c r="V14" s="221" t="e">
        <f>'Rider Rates'!#REF!</f>
        <v>#REF!</v>
      </c>
      <c r="W14" s="221" t="e">
        <f>'Rider Rates'!#REF!</f>
        <v>#REF!</v>
      </c>
      <c r="X14" s="221" t="e">
        <f>'Rider Rates'!#REF!</f>
        <v>#REF!</v>
      </c>
      <c r="Y14" s="221" t="e">
        <f>'Rider Rates'!#REF!</f>
        <v>#REF!</v>
      </c>
      <c r="Z14" s="221" t="e">
        <f>'Rider Rates'!#REF!</f>
        <v>#REF!</v>
      </c>
      <c r="AA14" s="221" t="e">
        <f>'Rider Rates'!#REF!</f>
        <v>#REF!</v>
      </c>
      <c r="AB14" s="221" t="e">
        <f>'Rider Rates'!#REF!</f>
        <v>#REF!</v>
      </c>
      <c r="AC14" s="221" t="e">
        <f>'Rider Rates'!#REF!</f>
        <v>#REF!</v>
      </c>
      <c r="AD14" s="221" t="e">
        <f>'Rider Rates'!#REF!</f>
        <v>#REF!</v>
      </c>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t="s">
        <v>187</v>
      </c>
      <c r="S15" s="70">
        <f>'Rider Rates'!$C$21</f>
        <v>7.6880000000000004E-2</v>
      </c>
      <c r="T15" s="70">
        <f>'Rider Rates'!$C$21</f>
        <v>7.6880000000000004E-2</v>
      </c>
      <c r="U15" s="70">
        <f>'Rider Rates'!$C$21</f>
        <v>7.6880000000000004E-2</v>
      </c>
      <c r="V15" s="70">
        <f>'Rider Rates'!$C$21</f>
        <v>7.6880000000000004E-2</v>
      </c>
      <c r="W15" s="70">
        <f>'Rider Rates'!$C$21</f>
        <v>7.6880000000000004E-2</v>
      </c>
      <c r="X15" s="70">
        <f>'Rider Rates'!$B$21</f>
        <v>7.6880000000000004E-2</v>
      </c>
      <c r="Y15" s="70">
        <f>'Rider Rates'!$B$21</f>
        <v>7.6880000000000004E-2</v>
      </c>
      <c r="Z15" s="70">
        <f>'Rider Rates'!$B$21</f>
        <v>7.6880000000000004E-2</v>
      </c>
      <c r="AA15" s="70">
        <f>'Rider Rates'!$B$21</f>
        <v>7.6880000000000004E-2</v>
      </c>
      <c r="AB15" s="70">
        <f>'Rider Rates'!$C$21</f>
        <v>7.6880000000000004E-2</v>
      </c>
      <c r="AC15" s="70">
        <f>'Rider Rates'!$C$21</f>
        <v>7.6880000000000004E-2</v>
      </c>
      <c r="AD15" s="70">
        <f>'Rider Rates'!$C$21</f>
        <v>7.6880000000000004E-2</v>
      </c>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221</v>
      </c>
      <c r="B18" s="70"/>
      <c r="C18" s="134"/>
      <c r="D18" s="236">
        <f>'Customer Info'!B21</f>
        <v>0</v>
      </c>
      <c r="E18" s="70"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t="s">
        <v>222</v>
      </c>
      <c r="B19" s="70"/>
      <c r="C19" s="134"/>
      <c r="D19" s="236">
        <f>'Customer Info'!B22</f>
        <v>0</v>
      </c>
      <c r="E19" s="70" t="s">
        <v>41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5" t="s">
        <v>68</v>
      </c>
      <c r="H23" s="416"/>
      <c r="I23" s="416"/>
      <c r="J23" s="417"/>
      <c r="K23" s="139"/>
      <c r="L23" s="412" t="s">
        <v>69</v>
      </c>
      <c r="M23" s="413"/>
      <c r="N23" s="413"/>
      <c r="O23" s="414"/>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38" si="0">SUM(G31:I31)</f>
        <v>5.5215000000000004E-3</v>
      </c>
      <c r="K31" s="94" t="s">
        <v>42</v>
      </c>
      <c r="L31" s="95"/>
      <c r="M31" s="95"/>
      <c r="N31" s="95">
        <f t="shared" ref="N31:N37" si="1">ROUND(D31*I31,2)</f>
        <v>0</v>
      </c>
      <c r="O31" s="225">
        <f t="shared" ref="O31:O54"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251">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 t="shared" si="0"/>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237</v>
      </c>
      <c r="B38" s="70"/>
      <c r="C38" s="70"/>
      <c r="D38" s="172">
        <f>$N$27</f>
        <v>10</v>
      </c>
      <c r="E38" s="91" t="s">
        <v>122</v>
      </c>
      <c r="F38" s="92" t="s">
        <v>8</v>
      </c>
      <c r="G38" s="93"/>
      <c r="H38" s="93"/>
      <c r="I38" s="155">
        <f>'Rider Rates'!$B$18+'Rider Rates'!$E$18</f>
        <v>0</v>
      </c>
      <c r="J38" s="155">
        <f t="shared" si="0"/>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f>
        <v>0</v>
      </c>
      <c r="E39" s="91" t="s">
        <v>41</v>
      </c>
      <c r="F39" s="92" t="s">
        <v>8</v>
      </c>
      <c r="G39" s="93">
        <f>'Rider Rates'!B21</f>
        <v>7.6880000000000004E-2</v>
      </c>
      <c r="H39" s="93"/>
      <c r="I39" s="93"/>
      <c r="J39" s="213">
        <f>SUM(G39:H39)</f>
        <v>7.6880000000000004E-2</v>
      </c>
      <c r="K39" s="94" t="s">
        <v>42</v>
      </c>
      <c r="L39" s="95">
        <f>ROUND(D39*G39,2)</f>
        <v>0</v>
      </c>
      <c r="M39" s="95"/>
      <c r="N39" s="95"/>
      <c r="O39" s="95">
        <f t="shared" si="2"/>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162</v>
      </c>
      <c r="B40" s="70"/>
      <c r="C40" s="70"/>
      <c r="D40" s="90">
        <f>D18</f>
        <v>0</v>
      </c>
      <c r="E40" s="91" t="s">
        <v>41</v>
      </c>
      <c r="F40" s="92" t="s">
        <v>8</v>
      </c>
      <c r="G40" s="93">
        <f>'Rider Rates'!B31</f>
        <v>0.19200049999999999</v>
      </c>
      <c r="H40" s="93"/>
      <c r="I40" s="93"/>
      <c r="J40" s="213">
        <f>SUM(G40:H40)</f>
        <v>0.19200049999999999</v>
      </c>
      <c r="K40" s="94" t="s">
        <v>42</v>
      </c>
      <c r="L40" s="215">
        <f>ROUND($D$40*$G$40,2)</f>
        <v>0</v>
      </c>
      <c r="M40" s="95"/>
      <c r="N40" s="95"/>
      <c r="O40" s="95">
        <f>SUM(L40:N40)</f>
        <v>0</v>
      </c>
      <c r="P40" s="220">
        <f>'Rider Rates'!D31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219</v>
      </c>
      <c r="B41" s="70"/>
      <c r="C41" s="70"/>
      <c r="D41" s="90">
        <f>D19</f>
        <v>0</v>
      </c>
      <c r="E41" s="91" t="s">
        <v>41</v>
      </c>
      <c r="F41" s="92" t="s">
        <v>8</v>
      </c>
      <c r="G41" s="93">
        <f>'Rider Rates'!B32</f>
        <v>0</v>
      </c>
      <c r="H41" s="93"/>
      <c r="I41" s="93"/>
      <c r="J41" s="213">
        <f>SUM(G41:H41)</f>
        <v>0</v>
      </c>
      <c r="K41" s="94"/>
      <c r="L41" s="215">
        <f>D41*G41</f>
        <v>0</v>
      </c>
      <c r="M41" s="95"/>
      <c r="N41" s="95"/>
      <c r="O41" s="95">
        <f>SUM(L41:N41)</f>
        <v>0</v>
      </c>
      <c r="P41" s="220">
        <f>'Rider Rates'!D32</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f>
        <v>0</v>
      </c>
      <c r="E42" s="91" t="s">
        <v>41</v>
      </c>
      <c r="F42" s="92" t="s">
        <v>8</v>
      </c>
      <c r="G42" s="93">
        <f>'Rider Rates'!$B$45</f>
        <v>2.7588999999999999E-3</v>
      </c>
      <c r="H42" s="93"/>
      <c r="I42" s="93"/>
      <c r="J42" s="213">
        <f>SUM(G42:H42)</f>
        <v>2.7588999999999999E-3</v>
      </c>
      <c r="K42" s="94" t="s">
        <v>42</v>
      </c>
      <c r="L42" s="95">
        <f>ROUND(D42*G42,2)</f>
        <v>0</v>
      </c>
      <c r="M42" s="95"/>
      <c r="N42" s="95"/>
      <c r="O42" s="95">
        <f t="shared" si="2"/>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 t="shared" ref="J43:J49" si="3">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 t="shared" si="3"/>
        <v>3.55042E-2</v>
      </c>
      <c r="K44" s="94" t="s">
        <v>42</v>
      </c>
      <c r="L44" s="95"/>
      <c r="M44" s="95">
        <f>ROUND(D44*H44,2)</f>
        <v>0</v>
      </c>
      <c r="N44" s="182"/>
      <c r="O44" s="95">
        <f t="shared" si="2"/>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3"/>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$N$27</f>
        <v>10</v>
      </c>
      <c r="E47" s="91" t="s">
        <v>122</v>
      </c>
      <c r="F47" s="92" t="s">
        <v>8</v>
      </c>
      <c r="G47" s="99"/>
      <c r="H47" s="5"/>
      <c r="I47" s="106">
        <f>'Rider Rates'!$B$85</f>
        <v>3.5344300000000002E-2</v>
      </c>
      <c r="J47" s="106">
        <f t="shared" si="3"/>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$N$27</f>
        <v>10</v>
      </c>
      <c r="E48" s="91" t="s">
        <v>122</v>
      </c>
      <c r="F48" s="92" t="s">
        <v>8</v>
      </c>
      <c r="G48" s="100"/>
      <c r="H48" s="101"/>
      <c r="I48" s="106">
        <f>'Rider Rates'!$B$87</f>
        <v>7.8822199999999995E-2</v>
      </c>
      <c r="J48" s="106">
        <f t="shared" si="3"/>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 t="shared" si="3"/>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$N$27</f>
        <v>10</v>
      </c>
      <c r="E51" s="91" t="s">
        <v>122</v>
      </c>
      <c r="F51" s="92" t="s">
        <v>8</v>
      </c>
      <c r="G51" s="100"/>
      <c r="H51" s="101"/>
      <c r="I51" s="106">
        <f>'Rider Rates'!$B$105</f>
        <v>0.24079249999999999</v>
      </c>
      <c r="J51" s="214">
        <f>SUM(G51:I51)</f>
        <v>0.24079249999999999</v>
      </c>
      <c r="K51" s="94"/>
      <c r="L51" s="95"/>
      <c r="M51" s="95"/>
      <c r="N51" s="95">
        <f>ROUND(D51*I51,2)</f>
        <v>2.41</v>
      </c>
      <c r="O51" s="95">
        <f t="shared" si="2"/>
        <v>2.41</v>
      </c>
      <c r="P51" s="220">
        <f>'Rider Rates'!$D$105</f>
        <v>45987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C19</f>
        <v>0</v>
      </c>
      <c r="E56" s="91" t="s">
        <v>41</v>
      </c>
      <c r="F56" s="224" t="s">
        <v>8</v>
      </c>
      <c r="G56" s="93"/>
      <c r="H56" s="93"/>
      <c r="I56" s="93">
        <f>'Rider Rates'!$B$130</f>
        <v>0</v>
      </c>
      <c r="J56" s="213">
        <f>SUM(G56:I56)</f>
        <v>0</v>
      </c>
      <c r="K56" s="94" t="s">
        <v>42</v>
      </c>
      <c r="L56" s="95"/>
      <c r="M56" s="95"/>
      <c r="N56" s="95">
        <f>D56*J56</f>
        <v>0</v>
      </c>
      <c r="O56" s="95">
        <f>SUM(L56:N56)</f>
        <v>0</v>
      </c>
      <c r="P56" s="220">
        <f>'Rider Rates'!D135</f>
        <v>0</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Rates'!$D$133</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SUM(L31:L58)</f>
        <v>0</v>
      </c>
      <c r="M59" s="147">
        <f t="shared" ref="M59:O59" si="6">SUM(M31:M58)</f>
        <v>0</v>
      </c>
      <c r="N59" s="147">
        <f t="shared" si="6"/>
        <v>6.37</v>
      </c>
      <c r="O59" s="147">
        <f t="shared" si="6"/>
        <v>6.37</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L27+L59</f>
        <v>0</v>
      </c>
      <c r="M61" s="163">
        <f>M27+M59</f>
        <v>0</v>
      </c>
      <c r="N61" s="163">
        <f>N27+N59</f>
        <v>16.37</v>
      </c>
      <c r="O61" s="164">
        <f>O27+O59</f>
        <v>16.37</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16.37</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252"/>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174</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c r="L5" s="68"/>
      <c r="M5" s="68"/>
      <c r="N5" s="68"/>
      <c r="O5" s="68"/>
      <c r="P5" s="68"/>
    </row>
    <row r="6" spans="1:30" x14ac:dyDescent="0.2">
      <c r="A6" s="69">
        <f ca="1">TODAY()</f>
        <v>46051</v>
      </c>
      <c r="B6" s="183" t="s">
        <v>236</v>
      </c>
      <c r="C6" s="183"/>
      <c r="D6" s="183"/>
      <c r="E6" s="183"/>
      <c r="F6" s="183"/>
      <c r="G6" s="183"/>
      <c r="H6" s="183"/>
      <c r="I6" s="183"/>
      <c r="J6" s="183"/>
      <c r="K6" s="183"/>
      <c r="L6" s="183"/>
      <c r="M6" s="183"/>
      <c r="N6" s="183"/>
      <c r="O6" s="183"/>
    </row>
    <row r="7" spans="1:30" x14ac:dyDescent="0.2">
      <c r="A7" s="409" t="s">
        <v>15</v>
      </c>
      <c r="B7" s="409"/>
      <c r="C7" s="409"/>
      <c r="D7" s="409"/>
      <c r="E7" s="409"/>
      <c r="F7" s="409"/>
      <c r="G7" s="409"/>
      <c r="H7" s="409"/>
      <c r="I7" s="409"/>
      <c r="J7" s="409"/>
      <c r="K7" s="40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70" t="s">
        <v>168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R14" s="70" t="s">
        <v>169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43</v>
      </c>
      <c r="B15" s="27"/>
      <c r="C15" s="29">
        <f>IF('Customer Info'!B21+'Customer Info'!B22-'Customer Info'!B23&lt;0,0,'Customer Info'!B21+'Customer Info'!B22-'Customer Info'!B23)</f>
        <v>0</v>
      </c>
      <c r="D15" s="27" t="s">
        <v>41</v>
      </c>
      <c r="E15" s="27"/>
      <c r="F15" s="28"/>
      <c r="G15" s="27"/>
      <c r="H15" s="27"/>
      <c r="I15" s="27"/>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27"/>
      <c r="B16" s="27"/>
      <c r="C16" s="28"/>
      <c r="D16" s="28"/>
      <c r="E16" s="28"/>
      <c r="F16" s="28"/>
      <c r="G16" s="21"/>
      <c r="H16" s="27"/>
      <c r="I16" s="27"/>
    </row>
    <row r="17" spans="1:221" x14ac:dyDescent="0.2">
      <c r="A17" s="26" t="s">
        <v>124</v>
      </c>
      <c r="B17" s="20"/>
      <c r="C17" s="20"/>
      <c r="D17" s="20"/>
      <c r="E17" s="20"/>
      <c r="F17" s="20"/>
      <c r="G17" s="420" t="s">
        <v>68</v>
      </c>
      <c r="H17" s="421"/>
      <c r="I17" s="421"/>
      <c r="J17" s="422"/>
      <c r="K17" s="20"/>
      <c r="L17" s="423" t="s">
        <v>69</v>
      </c>
      <c r="M17" s="423"/>
      <c r="N17" s="423"/>
      <c r="O17" s="423"/>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10</v>
      </c>
      <c r="J19" s="109">
        <f>SUM(G19:I19)</f>
        <v>10</v>
      </c>
      <c r="L19" s="109"/>
      <c r="M19" s="109"/>
      <c r="N19" s="109">
        <f>I19</f>
        <v>10</v>
      </c>
      <c r="O19" s="109">
        <f>+SUM(L19:N19)</f>
        <v>10</v>
      </c>
      <c r="P19" s="220">
        <v>44531</v>
      </c>
    </row>
    <row r="20" spans="1:221" x14ac:dyDescent="0.2">
      <c r="A20" t="s">
        <v>296</v>
      </c>
      <c r="D20" s="1">
        <f>C15</f>
        <v>0</v>
      </c>
      <c r="E20" s="31" t="s">
        <v>41</v>
      </c>
      <c r="F20" s="4" t="s">
        <v>8</v>
      </c>
      <c r="G20" s="143"/>
      <c r="H20" s="111"/>
      <c r="I20" s="143">
        <v>2.6312499999999999E-2</v>
      </c>
      <c r="J20" s="111">
        <f>SUM(G20:I20)</f>
        <v>2.6312499999999999E-2</v>
      </c>
      <c r="K20" s="32" t="s">
        <v>42</v>
      </c>
      <c r="L20" s="113"/>
      <c r="M20" s="113"/>
      <c r="N20" s="113">
        <f>ROUND($D20*I20,2)</f>
        <v>0</v>
      </c>
      <c r="O20" s="109">
        <f>+SUM(L20:N20)</f>
        <v>0</v>
      </c>
      <c r="P20" s="220">
        <v>44531</v>
      </c>
    </row>
    <row r="21" spans="1:221" x14ac:dyDescent="0.2">
      <c r="A21" s="87" t="s">
        <v>75</v>
      </c>
      <c r="B21" s="33"/>
      <c r="C21" s="33"/>
      <c r="D21" s="34"/>
      <c r="E21" s="34"/>
      <c r="F21" s="33"/>
      <c r="G21" s="33"/>
      <c r="I21" s="36"/>
      <c r="K21" s="35"/>
      <c r="L21" s="86"/>
      <c r="M21" s="48"/>
      <c r="N21" s="86">
        <f>SUM(N17:N20)</f>
        <v>10</v>
      </c>
      <c r="O21" s="86">
        <f>SUM(O19:O20)</f>
        <v>10</v>
      </c>
      <c r="R21" s="152"/>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6" si="0">SUM(G25:I25)</f>
        <v>5.5215000000000004E-3</v>
      </c>
      <c r="K25" s="94" t="s">
        <v>42</v>
      </c>
      <c r="L25" s="95"/>
      <c r="M25" s="95"/>
      <c r="N25" s="95">
        <f t="shared" ref="N25:N30" si="1">ROUND(D25*I25,2)</f>
        <v>0</v>
      </c>
      <c r="O25" s="95">
        <f t="shared" ref="O25:O47"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IF($C$15&lt;0,0,IF($C$15&gt;2000,2000,$C$15))</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IF($C$15&lt;=2000,0,IF($C$15=0,0,IF($C$15-2000&gt;13000,13000,$C$15-2000)))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IF($C$15=0,0,IF($C$15-15000&gt;=0,$C$15-15000,0))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IF($C$15&lt;0,0,$C$15)</f>
        <v>0</v>
      </c>
      <c r="E31" s="91" t="s">
        <v>41</v>
      </c>
      <c r="F31" s="92" t="s">
        <v>8</v>
      </c>
      <c r="G31" s="93"/>
      <c r="H31" s="93"/>
      <c r="I31" s="93">
        <f>'Rider Rates'!$B$15</f>
        <v>0</v>
      </c>
      <c r="J31" s="93">
        <f>SUM(G31:I31)</f>
        <v>0</v>
      </c>
      <c r="K31" s="94" t="s">
        <v>42</v>
      </c>
      <c r="L31" s="95"/>
      <c r="M31" s="95"/>
      <c r="N31" s="95">
        <f>ROUND(D31*I31,2)</f>
        <v>0</v>
      </c>
      <c r="O31" s="95">
        <f t="shared" ref="O31:O39"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237</v>
      </c>
      <c r="B32" s="70"/>
      <c r="C32" s="70"/>
      <c r="D32" s="172">
        <f>$N$21</f>
        <v>10</v>
      </c>
      <c r="E32" s="91" t="s">
        <v>122</v>
      </c>
      <c r="F32" s="92" t="s">
        <v>8</v>
      </c>
      <c r="G32" s="93"/>
      <c r="H32" s="93"/>
      <c r="I32" s="155">
        <f>'Rider Rates'!$B$18+'Rider Rates'!$E$18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186</v>
      </c>
      <c r="B33" s="70"/>
      <c r="C33" s="70"/>
      <c r="D33" s="90">
        <f>'Customer Info'!$B$21+'Customer Info'!$B$22</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70" t="s">
        <v>172</v>
      </c>
      <c r="B34" s="70"/>
      <c r="C34" s="70"/>
      <c r="D34" s="90">
        <f>'Customer Info'!B22</f>
        <v>0</v>
      </c>
      <c r="E34" s="91" t="s">
        <v>41</v>
      </c>
      <c r="F34" s="92" t="s">
        <v>8</v>
      </c>
      <c r="G34" s="93">
        <f>'Rider Rates'!B30</f>
        <v>1.3109600000000001E-2</v>
      </c>
      <c r="H34" s="93"/>
      <c r="I34" s="93"/>
      <c r="J34" s="213">
        <f>SUM(G34:H34)</f>
        <v>1.3109600000000001E-2</v>
      </c>
      <c r="K34" s="94" t="s">
        <v>42</v>
      </c>
      <c r="L34" s="95">
        <f>ROUND(D34*G34,2)</f>
        <v>0</v>
      </c>
      <c r="M34" s="95"/>
      <c r="N34" s="95"/>
      <c r="O34" s="95">
        <f t="shared" si="3"/>
        <v>0</v>
      </c>
      <c r="P34" s="220">
        <f>'Rider Rates'!$D$29</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173</v>
      </c>
      <c r="B35" s="70"/>
      <c r="C35" s="70"/>
      <c r="D35" s="1">
        <f>'Customer Info'!B21</f>
        <v>0</v>
      </c>
      <c r="E35" s="91" t="s">
        <v>41</v>
      </c>
      <c r="F35" s="92" t="s">
        <v>8</v>
      </c>
      <c r="G35" s="93">
        <f>'Rider Rates'!B29</f>
        <v>4.7587499999999998E-2</v>
      </c>
      <c r="H35" s="93"/>
      <c r="I35" s="93"/>
      <c r="J35" s="213">
        <f>SUM(G35:H35)</f>
        <v>4.7587499999999998E-2</v>
      </c>
      <c r="K35" s="94" t="s">
        <v>42</v>
      </c>
      <c r="L35" s="95">
        <f>ROUND(D35*G35,2)</f>
        <v>0</v>
      </c>
      <c r="M35" s="95"/>
      <c r="N35" s="95"/>
      <c r="O35" s="95">
        <f t="shared" si="3"/>
        <v>0</v>
      </c>
      <c r="P35" s="220">
        <f>'Rider Rates'!$D$30</f>
        <v>45809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f>
        <v>0</v>
      </c>
      <c r="E36" s="91" t="s">
        <v>41</v>
      </c>
      <c r="F36" s="92" t="s">
        <v>8</v>
      </c>
      <c r="G36" s="93">
        <f>'Rider Rates'!B45</f>
        <v>2.7588999999999999E-3</v>
      </c>
      <c r="H36" s="93"/>
      <c r="I36" s="93"/>
      <c r="J36" s="213">
        <f>SUM(G36:H36)</f>
        <v>2.7588999999999999E-3</v>
      </c>
      <c r="K36" s="94" t="s">
        <v>42</v>
      </c>
      <c r="L36" s="95">
        <f>ROUND(D36*G36,2)</f>
        <v>0</v>
      </c>
      <c r="M36" s="95"/>
      <c r="N36" s="95"/>
      <c r="O36" s="95">
        <f>SUM(L36:N36)</f>
        <v>0</v>
      </c>
      <c r="P36" s="220">
        <f>'Rider Rates'!$D$45</f>
        <v>46022</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c r="E37" s="91" t="s">
        <v>115</v>
      </c>
      <c r="F37" s="92" t="s">
        <v>15</v>
      </c>
      <c r="G37" s="93"/>
      <c r="H37" s="93"/>
      <c r="I37" s="93">
        <f>'Rider Rates'!D48</f>
        <v>0</v>
      </c>
      <c r="J37" s="93">
        <f>SUM(G37:I37)</f>
        <v>0</v>
      </c>
      <c r="K37" s="94" t="s">
        <v>42</v>
      </c>
      <c r="L37" s="95"/>
      <c r="M37" s="95"/>
      <c r="N37" s="95">
        <f>J37</f>
        <v>0</v>
      </c>
      <c r="O37" s="95">
        <f>SUM(L37:N37)</f>
        <v>0</v>
      </c>
      <c r="P37" s="220">
        <f>'Rider Rates'!E48</f>
        <v>45883</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Rates'!$B$55</f>
        <v>3.55042E-2</v>
      </c>
      <c r="I38" s="93"/>
      <c r="J38" s="93">
        <f>SUM(G38:I38)</f>
        <v>3.55042E-2</v>
      </c>
      <c r="K38" s="94" t="s">
        <v>42</v>
      </c>
      <c r="L38" s="95"/>
      <c r="M38" s="95">
        <f>ROUND(D38*H38,2)</f>
        <v>0</v>
      </c>
      <c r="N38" s="182"/>
      <c r="O38" s="95">
        <f t="shared" si="3"/>
        <v>0</v>
      </c>
      <c r="P38" s="220">
        <f>'Rider Rates'!$D$55</f>
        <v>45929</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337</v>
      </c>
      <c r="B39" s="70"/>
      <c r="C39" s="70"/>
      <c r="D39" s="90">
        <f>IF($C$15&lt;0,0,$C$15)</f>
        <v>0</v>
      </c>
      <c r="E39" s="91" t="s">
        <v>41</v>
      </c>
      <c r="F39" s="92" t="s">
        <v>8</v>
      </c>
      <c r="G39" s="93"/>
      <c r="H39" s="93"/>
      <c r="I39" s="93">
        <f>'Rider Rates'!$B$66</f>
        <v>7.3870000000000001E-4</v>
      </c>
      <c r="J39" s="93">
        <f t="shared" ref="J39" si="4">SUM(G39:I39)</f>
        <v>7.3870000000000001E-4</v>
      </c>
      <c r="K39" s="94" t="s">
        <v>42</v>
      </c>
      <c r="L39" s="95"/>
      <c r="M39" s="95"/>
      <c r="N39" s="95">
        <f>ROUND($D$39*'Rider Rates'!$B$66,2)</f>
        <v>0</v>
      </c>
      <c r="O39" s="95">
        <f t="shared" si="3"/>
        <v>0</v>
      </c>
      <c r="P39" s="220">
        <f>'Rider Rates'!$D$66</f>
        <v>45747</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Rates'!$B$69+'Rider Rates'!$C$69</f>
        <v>0</v>
      </c>
      <c r="J40" s="93">
        <f t="shared" si="0"/>
        <v>0</v>
      </c>
      <c r="K40" s="94" t="s">
        <v>42</v>
      </c>
      <c r="L40" s="95"/>
      <c r="M40" s="95"/>
      <c r="N40" s="95">
        <f>ROUND($D$40*'Rider Rates'!$B$69,2)+ROUND($D$40*'Rider Rates'!$C$69,2)</f>
        <v>0</v>
      </c>
      <c r="O40" s="95">
        <f t="shared" si="2"/>
        <v>0</v>
      </c>
      <c r="P40" s="220">
        <f>'Rider Rates'!$D$69</f>
        <v>45444</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$N$21</f>
        <v>10</v>
      </c>
      <c r="E41" s="91" t="s">
        <v>122</v>
      </c>
      <c r="F41" s="92" t="s">
        <v>8</v>
      </c>
      <c r="G41" s="99"/>
      <c r="H41" s="5"/>
      <c r="I41" s="106">
        <f>'Rider Rates'!$B$85</f>
        <v>3.5344300000000002E-2</v>
      </c>
      <c r="J41" s="106">
        <f t="shared" si="0"/>
        <v>3.5344300000000002E-2</v>
      </c>
      <c r="K41" s="94"/>
      <c r="L41" s="95"/>
      <c r="M41" s="95"/>
      <c r="N41" s="95">
        <f>ROUND(D41*I41,2)</f>
        <v>0.35</v>
      </c>
      <c r="O41" s="95">
        <f t="shared" si="2"/>
        <v>0.35</v>
      </c>
      <c r="P41" s="220">
        <f>'Rider Rates'!$D$85</f>
        <v>45929</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$N$21</f>
        <v>10</v>
      </c>
      <c r="E42" s="91" t="s">
        <v>122</v>
      </c>
      <c r="F42" s="92" t="s">
        <v>8</v>
      </c>
      <c r="G42" s="100"/>
      <c r="H42" s="101"/>
      <c r="I42" s="106">
        <f>'Rider Rates'!$B$87</f>
        <v>7.8822199999999995E-2</v>
      </c>
      <c r="J42" s="106">
        <f t="shared" si="0"/>
        <v>7.8822199999999995E-2</v>
      </c>
      <c r="K42" s="94"/>
      <c r="L42" s="95"/>
      <c r="M42" s="95"/>
      <c r="N42" s="95">
        <f>ROUND(D42*I42,2)</f>
        <v>0.79</v>
      </c>
      <c r="O42" s="95">
        <f t="shared" si="2"/>
        <v>0.79</v>
      </c>
      <c r="P42" s="220">
        <f>'Rider Rates'!$D$87</f>
        <v>45987</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Rates'!$B$90</f>
        <v>2.62</v>
      </c>
      <c r="J43" s="173">
        <f t="shared" si="0"/>
        <v>2.62</v>
      </c>
      <c r="K43" s="94"/>
      <c r="L43" s="95"/>
      <c r="M43" s="95"/>
      <c r="N43" s="95">
        <f>I43</f>
        <v>2.62</v>
      </c>
      <c r="O43" s="95">
        <f t="shared" si="2"/>
        <v>2.62</v>
      </c>
      <c r="P43" s="220">
        <f>'Rider Rates'!$D$90</f>
        <v>46022</v>
      </c>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Rates'!$B$94</f>
        <v>0</v>
      </c>
      <c r="K44" s="94" t="s">
        <v>42</v>
      </c>
      <c r="L44" s="95"/>
      <c r="M44" s="95"/>
      <c r="N44" s="95"/>
      <c r="O44" s="95">
        <f>ROUND($D44*('Rider Rates'!B$94),2)</f>
        <v>0</v>
      </c>
      <c r="P44" s="220">
        <f>'Rider Rates'!$D$94</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$N$21</f>
        <v>10</v>
      </c>
      <c r="E45" s="91" t="s">
        <v>122</v>
      </c>
      <c r="F45" s="92" t="s">
        <v>8</v>
      </c>
      <c r="G45" s="100"/>
      <c r="H45" s="101"/>
      <c r="I45" s="106">
        <f>'Rider Rates'!$B$105</f>
        <v>0.24079249999999999</v>
      </c>
      <c r="J45" s="106">
        <f t="shared" si="0"/>
        <v>0.24079249999999999</v>
      </c>
      <c r="K45" s="94"/>
      <c r="L45" s="95"/>
      <c r="M45" s="95"/>
      <c r="N45" s="95">
        <f>ROUND(D45*I45,2)</f>
        <v>2.41</v>
      </c>
      <c r="O45" s="95">
        <f t="shared" si="2"/>
        <v>2.41</v>
      </c>
      <c r="P45" s="220">
        <f>'Rider Rates'!$D$105</f>
        <v>45987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Rates'!B121</f>
        <v>0.2</v>
      </c>
      <c r="J46" s="173">
        <f t="shared" si="0"/>
        <v>0.2</v>
      </c>
      <c r="K46" s="94"/>
      <c r="L46" s="95"/>
      <c r="M46" s="95"/>
      <c r="N46" s="235">
        <f>I46</f>
        <v>0.2</v>
      </c>
      <c r="O46" s="95">
        <f t="shared" si="2"/>
        <v>0.2</v>
      </c>
      <c r="P46" s="220">
        <f>'Rider Rates'!D121</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Rates'!B117</f>
        <v>0</v>
      </c>
      <c r="J48" s="226">
        <f>SUM(G48:I48)</f>
        <v>0</v>
      </c>
      <c r="K48" s="94" t="s">
        <v>42</v>
      </c>
      <c r="L48" s="95"/>
      <c r="M48" s="95"/>
      <c r="N48" s="95">
        <f>D48*J48</f>
        <v>0</v>
      </c>
      <c r="O48" s="95">
        <f>SUM(L48:N48)</f>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230</v>
      </c>
      <c r="B49" s="70"/>
      <c r="C49" s="70"/>
      <c r="D49" s="90"/>
      <c r="E49" s="91" t="s">
        <v>115</v>
      </c>
      <c r="F49" s="92" t="s">
        <v>8</v>
      </c>
      <c r="G49" s="238"/>
      <c r="H49" s="238"/>
      <c r="I49" s="238">
        <f>'Rider Rates'!$B$125</f>
        <v>0</v>
      </c>
      <c r="J49" s="238">
        <f>SUM(G49:I49)</f>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C15</f>
        <v>0</v>
      </c>
      <c r="E50" s="91" t="s">
        <v>41</v>
      </c>
      <c r="F50" s="224" t="s">
        <v>8</v>
      </c>
      <c r="G50" s="93"/>
      <c r="H50" s="93"/>
      <c r="I50" s="93">
        <f>'Rider Rates'!$B$130</f>
        <v>0</v>
      </c>
      <c r="J50" s="213">
        <f>SUM(G50:I50)</f>
        <v>0</v>
      </c>
      <c r="K50" s="94" t="s">
        <v>42</v>
      </c>
      <c r="L50" s="95"/>
      <c r="M50" s="95"/>
      <c r="N50" s="95">
        <f>D50*J50</f>
        <v>0</v>
      </c>
      <c r="O50" s="95">
        <f>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Rates'!$B$137</f>
        <v>0</v>
      </c>
      <c r="J51" s="238">
        <f>SUM(G51:I51)</f>
        <v>0</v>
      </c>
      <c r="K51" s="94"/>
      <c r="L51" s="186"/>
      <c r="M51" s="186"/>
      <c r="N51" s="186">
        <f>J51</f>
        <v>0</v>
      </c>
      <c r="O51" s="186">
        <f>SUM(L51:N51)</f>
        <v>0</v>
      </c>
      <c r="P51" s="239">
        <f>'Rider Rates'!$D$133</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5">SUM(M25:M52)</f>
        <v>0</v>
      </c>
      <c r="N53" s="147">
        <f t="shared" si="5"/>
        <v>6.37</v>
      </c>
      <c r="O53" s="147">
        <f t="shared" si="5"/>
        <v>6.37</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92"/>
      <c r="N54" s="92"/>
      <c r="O54" s="92"/>
      <c r="P54" s="142"/>
      <c r="Q54" s="92"/>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48"/>
      <c r="B55" s="148"/>
      <c r="C55" s="148"/>
      <c r="D55" s="148"/>
      <c r="E55" s="148"/>
      <c r="F55" s="148"/>
      <c r="G55" s="148"/>
      <c r="H55" s="148"/>
      <c r="I55" s="148"/>
      <c r="J55" s="148"/>
      <c r="K55" s="148"/>
      <c r="L55" s="163">
        <f>L21+L53</f>
        <v>0</v>
      </c>
      <c r="M55" s="163">
        <f>M21+M53</f>
        <v>0</v>
      </c>
      <c r="N55" s="163">
        <f>N21+N53</f>
        <v>16.37</v>
      </c>
      <c r="O55" s="164">
        <f>O21+O53</f>
        <v>16.37</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IF($C$15&lt;=0,MIN(O19,O55), O19)</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16.37</v>
      </c>
      <c r="P60" s="92"/>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t="s">
        <v>190</v>
      </c>
      <c r="J63" s="70"/>
      <c r="K63" s="70"/>
      <c r="L63" s="70"/>
      <c r="M63" s="70"/>
      <c r="N63" s="70"/>
      <c r="O63" s="218">
        <f>ROUND(IF($C$15&lt;1,0,(L55)/($C$15*100)*10000),2)</f>
        <v>0</v>
      </c>
      <c r="P63" s="23" t="s">
        <v>87</v>
      </c>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0" t="s">
        <v>120</v>
      </c>
      <c r="B1" s="410"/>
      <c r="C1" s="410"/>
      <c r="D1" s="410"/>
      <c r="E1" s="410"/>
      <c r="F1" s="410"/>
      <c r="G1" s="410"/>
      <c r="H1" s="410"/>
      <c r="I1" s="410"/>
      <c r="J1" s="410"/>
      <c r="K1" s="410"/>
      <c r="L1" s="410"/>
      <c r="M1" s="410"/>
      <c r="N1" s="410"/>
      <c r="O1" s="410"/>
      <c r="P1" s="410"/>
      <c r="Q1" s="174"/>
    </row>
    <row r="2" spans="1:59" ht="18" customHeight="1" x14ac:dyDescent="0.2">
      <c r="A2" s="419" t="s">
        <v>280</v>
      </c>
      <c r="B2" s="419"/>
      <c r="C2" s="419"/>
      <c r="D2" s="419"/>
      <c r="E2" s="419"/>
      <c r="F2" s="419"/>
      <c r="G2" s="419"/>
      <c r="H2" s="419"/>
      <c r="I2" s="419"/>
      <c r="J2" s="419"/>
      <c r="K2" s="419"/>
      <c r="L2" s="419"/>
      <c r="M2" s="419"/>
      <c r="N2" s="419"/>
      <c r="O2" s="419"/>
      <c r="P2" s="419"/>
    </row>
    <row r="3" spans="1:59" ht="18" x14ac:dyDescent="0.25">
      <c r="A3" s="419"/>
      <c r="B3" s="419"/>
      <c r="C3" s="419"/>
      <c r="D3" s="419"/>
      <c r="E3" s="419"/>
      <c r="F3" s="419"/>
      <c r="G3" s="419"/>
      <c r="H3" s="419"/>
      <c r="I3" s="419"/>
      <c r="J3" s="419"/>
      <c r="K3" s="419"/>
      <c r="L3" s="419"/>
      <c r="M3" s="419"/>
      <c r="N3" s="419"/>
      <c r="O3" s="419"/>
      <c r="P3" s="419"/>
      <c r="Q3" s="175"/>
    </row>
    <row r="4" spans="1:59"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46051</v>
      </c>
      <c r="B6" s="418" t="s">
        <v>235</v>
      </c>
      <c r="C6" s="418"/>
      <c r="D6" s="418"/>
      <c r="E6" s="418"/>
      <c r="F6" s="418"/>
      <c r="G6" s="418"/>
      <c r="H6" s="418"/>
      <c r="I6" s="418"/>
      <c r="J6" s="418"/>
      <c r="K6" s="418"/>
      <c r="L6" s="418"/>
      <c r="M6" s="418"/>
      <c r="N6" s="418"/>
      <c r="O6" s="418"/>
    </row>
    <row r="7" spans="1:59" x14ac:dyDescent="0.2">
      <c r="A7" s="409" t="s">
        <v>15</v>
      </c>
      <c r="B7" s="409"/>
      <c r="C7" s="409"/>
      <c r="D7" s="409"/>
      <c r="E7" s="409"/>
      <c r="F7" s="409"/>
      <c r="G7" s="409"/>
      <c r="H7" s="409"/>
      <c r="I7" s="409"/>
      <c r="J7" s="409"/>
      <c r="K7" s="409"/>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2</v>
      </c>
      <c r="C11" s="171" t="str">
        <f>LOOKUP($B$11,$S$11:$AD$11,S12:AD12)</f>
        <v>February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281</v>
      </c>
      <c r="B18" s="70"/>
      <c r="C18" s="134"/>
      <c r="D18" s="134">
        <f>'Customer Info'!B18</f>
        <v>0</v>
      </c>
      <c r="E18" s="187" t="s">
        <v>45</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5" t="s">
        <v>68</v>
      </c>
      <c r="H23" s="416"/>
      <c r="I23" s="416"/>
      <c r="J23" s="417"/>
      <c r="K23" s="139"/>
      <c r="L23" s="412" t="s">
        <v>69</v>
      </c>
      <c r="M23" s="413"/>
      <c r="N23" s="413"/>
      <c r="O23" s="414"/>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1.3156299999999999E-2</v>
      </c>
      <c r="J26" s="93">
        <f>SUM(G26:I26)</f>
        <v>1.3156299999999999E-2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87" t="s">
        <v>282</v>
      </c>
      <c r="B27" s="70"/>
      <c r="C27" s="70"/>
      <c r="D27" s="1">
        <f>D18</f>
        <v>0</v>
      </c>
      <c r="E27" s="91" t="s">
        <v>64</v>
      </c>
      <c r="F27" s="224" t="s">
        <v>8</v>
      </c>
      <c r="G27" s="222"/>
      <c r="H27" s="95"/>
      <c r="I27" s="143">
        <v>2.14</v>
      </c>
      <c r="J27" s="93">
        <f>SUM(G27:I27)</f>
        <v>2.14</v>
      </c>
      <c r="K27" s="94" t="s">
        <v>44</v>
      </c>
      <c r="L27" s="95"/>
      <c r="M27" s="95"/>
      <c r="N27" s="95">
        <f>ROUND($D27*I27,2)</f>
        <v>0</v>
      </c>
      <c r="O27" s="225">
        <f>SUM(L27:N27)</f>
        <v>0</v>
      </c>
      <c r="P27" s="220">
        <v>44531</v>
      </c>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4" t="s">
        <v>50</v>
      </c>
      <c r="B28" s="144"/>
      <c r="C28" s="144"/>
      <c r="D28" s="145"/>
      <c r="E28" s="145"/>
      <c r="F28" s="144"/>
      <c r="G28" s="145"/>
      <c r="H28" s="145"/>
      <c r="I28" s="145"/>
      <c r="J28" s="145"/>
      <c r="K28" s="146"/>
      <c r="L28" s="147"/>
      <c r="M28" s="147"/>
      <c r="N28" s="147">
        <f>SUM(N25:N27)</f>
        <v>10</v>
      </c>
      <c r="O28" s="147">
        <f>SUM(O25:O27)</f>
        <v>10</v>
      </c>
      <c r="P28" s="92"/>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48"/>
      <c r="B29" s="148"/>
      <c r="C29" s="148"/>
      <c r="D29" s="149"/>
      <c r="E29" s="149"/>
      <c r="F29" s="148"/>
      <c r="G29" s="149"/>
      <c r="H29" s="149"/>
      <c r="I29" s="149"/>
      <c r="J29" s="149"/>
      <c r="K29" s="150"/>
      <c r="L29" s="149"/>
      <c r="M29" s="149"/>
      <c r="N29" s="149"/>
      <c r="O29" s="149"/>
      <c r="P29" s="151"/>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row>
    <row r="30" spans="1:221" x14ac:dyDescent="0.2">
      <c r="A30" s="130" t="s">
        <v>70</v>
      </c>
      <c r="B30" s="144"/>
      <c r="C30" s="144"/>
      <c r="D30" s="145"/>
      <c r="E30" s="145"/>
      <c r="F30" s="144"/>
      <c r="G30" s="145"/>
      <c r="H30" s="145"/>
      <c r="I30" s="145"/>
      <c r="J30" s="145"/>
      <c r="K30" s="145"/>
      <c r="L30" s="145"/>
      <c r="M30" s="145"/>
      <c r="N30" s="145"/>
      <c r="O30" s="145"/>
      <c r="P30" s="92"/>
      <c r="Q30" s="70"/>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70"/>
      <c r="B31" s="70"/>
      <c r="C31" s="70"/>
      <c r="D31" s="70"/>
      <c r="E31" s="70"/>
      <c r="F31" s="70"/>
      <c r="G31" s="70"/>
      <c r="H31" s="70"/>
      <c r="I31" s="70"/>
      <c r="J31" s="70"/>
      <c r="K31" s="70"/>
      <c r="L31" s="70"/>
      <c r="M31" s="70"/>
      <c r="N31" s="70"/>
      <c r="O31" s="70"/>
      <c r="P31" s="4"/>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79</v>
      </c>
      <c r="B32" s="153"/>
      <c r="C32" s="153"/>
      <c r="D32" s="90">
        <f>IF($D$17&lt;0,0,IF($D$17&gt;833000,833000,$D$17))</f>
        <v>0</v>
      </c>
      <c r="E32" s="91" t="s">
        <v>41</v>
      </c>
      <c r="F32" s="92" t="s">
        <v>8</v>
      </c>
      <c r="G32" s="93"/>
      <c r="H32" s="93"/>
      <c r="I32" s="93">
        <f>'Rider Rates'!$B$4</f>
        <v>5.5215000000000004E-3</v>
      </c>
      <c r="J32" s="93">
        <f t="shared" ref="J32:J51" si="0">SUM(G32:I32)</f>
        <v>5.5215000000000004E-3</v>
      </c>
      <c r="K32" s="94" t="s">
        <v>42</v>
      </c>
      <c r="L32" s="95"/>
      <c r="M32" s="95"/>
      <c r="N32" s="95">
        <f t="shared" ref="N32:N38" si="1">ROUND(D32*I32,2)</f>
        <v>0</v>
      </c>
      <c r="O32" s="225">
        <f t="shared" ref="O32:O54" si="2">SUM(L32:N32)</f>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80</v>
      </c>
      <c r="B33" s="70"/>
      <c r="C33" s="70"/>
      <c r="D33" s="1">
        <f>IF($D$17&gt;833000,$D$17-833000,0)</f>
        <v>0</v>
      </c>
      <c r="E33" s="91" t="s">
        <v>41</v>
      </c>
      <c r="F33" s="92" t="s">
        <v>8</v>
      </c>
      <c r="G33" s="93"/>
      <c r="H33" s="93"/>
      <c r="I33" s="93">
        <f>'Rider Rates'!$B$5</f>
        <v>1.7560000000000001E-4</v>
      </c>
      <c r="J33" s="93">
        <f t="shared" si="0"/>
        <v>1.7560000000000001E-4</v>
      </c>
      <c r="K33" s="94" t="s">
        <v>42</v>
      </c>
      <c r="L33" s="95"/>
      <c r="M33" s="95"/>
      <c r="N33" s="95">
        <f t="shared" si="1"/>
        <v>0</v>
      </c>
      <c r="O33" s="95">
        <f t="shared" si="2"/>
        <v>0</v>
      </c>
      <c r="P33" s="220">
        <f>'Rider Rates'!$D$4</f>
        <v>46022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97</v>
      </c>
      <c r="B34" s="70"/>
      <c r="C34" s="70"/>
      <c r="D34" s="90">
        <f>IF($D$17&lt;0,0,IF($D$17&gt;2000,2000,$D$17))</f>
        <v>0</v>
      </c>
      <c r="E34" s="91" t="s">
        <v>41</v>
      </c>
      <c r="F34" s="92" t="s">
        <v>8</v>
      </c>
      <c r="G34" s="93"/>
      <c r="H34" s="93"/>
      <c r="I34" s="154">
        <f>'Rider Rates'!$B$8</f>
        <v>4.6499999999999996E-3</v>
      </c>
      <c r="J34" s="154">
        <f t="shared" si="0"/>
        <v>4.6499999999999996E-3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98</v>
      </c>
      <c r="B35" s="70"/>
      <c r="C35" s="70"/>
      <c r="D35" s="90">
        <f>IF($D$17&lt;=2000,0,IF($D$17=0,0,IF($D$17-2000&gt;13000,13000,$D$17-2000)))</f>
        <v>0</v>
      </c>
      <c r="E35" s="91" t="s">
        <v>41</v>
      </c>
      <c r="F35" s="92" t="s">
        <v>8</v>
      </c>
      <c r="G35" s="93"/>
      <c r="H35" s="93"/>
      <c r="I35" s="154">
        <f>'Rider Rates'!$B$9</f>
        <v>4.1900000000000001E-3</v>
      </c>
      <c r="J35" s="154">
        <f t="shared" si="0"/>
        <v>4.1900000000000001E-3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99</v>
      </c>
      <c r="B36" s="70"/>
      <c r="C36" s="70"/>
      <c r="D36" s="90">
        <f>IF($D$17=0,0,IF($D$17-15000&gt;=0,$D$17-15000,0))</f>
        <v>0</v>
      </c>
      <c r="E36" s="91" t="s">
        <v>41</v>
      </c>
      <c r="F36" s="92" t="s">
        <v>8</v>
      </c>
      <c r="G36" s="93"/>
      <c r="H36" s="93"/>
      <c r="I36" s="154">
        <f>'Rider Rates'!$B$10</f>
        <v>3.63E-3</v>
      </c>
      <c r="J36" s="154">
        <f t="shared" si="0"/>
        <v>3.63E-3</v>
      </c>
      <c r="K36" s="94" t="s">
        <v>42</v>
      </c>
      <c r="L36" s="95"/>
      <c r="M36" s="95"/>
      <c r="N36" s="95">
        <f t="shared" si="1"/>
        <v>0</v>
      </c>
      <c r="O36" s="95">
        <f t="shared" si="2"/>
        <v>0</v>
      </c>
      <c r="P36" s="220">
        <f>'Rider Rates'!$D$7</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114</v>
      </c>
      <c r="B37" s="70"/>
      <c r="C37" s="70"/>
      <c r="D37" s="172">
        <f>$N$28</f>
        <v>10</v>
      </c>
      <c r="E37" s="91" t="s">
        <v>122</v>
      </c>
      <c r="F37" s="92" t="s">
        <v>8</v>
      </c>
      <c r="G37" s="93"/>
      <c r="H37" s="93"/>
      <c r="I37" s="155">
        <f>'Rider Rates'!$B$12</f>
        <v>0</v>
      </c>
      <c r="J37" s="155">
        <f t="shared" si="0"/>
        <v>0</v>
      </c>
      <c r="K37" s="94"/>
      <c r="L37" s="95"/>
      <c r="M37" s="95"/>
      <c r="N37" s="95">
        <f t="shared" si="1"/>
        <v>0</v>
      </c>
      <c r="O37" s="95">
        <f t="shared" si="2"/>
        <v>0</v>
      </c>
      <c r="P37" s="220">
        <f>'Rider Rates'!$D$12</f>
        <v>44531</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159</v>
      </c>
      <c r="B38" s="70"/>
      <c r="C38" s="70"/>
      <c r="D38" s="90">
        <f>IF($D$17&lt;0,0,$D$17)</f>
        <v>0</v>
      </c>
      <c r="E38" s="91" t="s">
        <v>41</v>
      </c>
      <c r="F38" s="92" t="s">
        <v>8</v>
      </c>
      <c r="G38" s="93"/>
      <c r="H38" s="93"/>
      <c r="I38" s="93">
        <f>'Rider Rates'!B15</f>
        <v>0</v>
      </c>
      <c r="J38" s="93">
        <f>SUM(G38:I38)</f>
        <v>0</v>
      </c>
      <c r="K38" s="94" t="s">
        <v>42</v>
      </c>
      <c r="L38" s="95"/>
      <c r="M38" s="95"/>
      <c r="N38" s="95">
        <f t="shared" si="1"/>
        <v>0</v>
      </c>
      <c r="O38" s="95">
        <f t="shared" ref="O38:O44" si="3">SUM(L38:N38)</f>
        <v>0</v>
      </c>
      <c r="P38" s="220">
        <f>'Rider Rates'!$D$15</f>
        <v>45505</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237</v>
      </c>
      <c r="B39" s="70"/>
      <c r="C39" s="70"/>
      <c r="D39" s="172">
        <f>$N$28</f>
        <v>10</v>
      </c>
      <c r="E39" s="91" t="s">
        <v>122</v>
      </c>
      <c r="F39" s="92" t="s">
        <v>8</v>
      </c>
      <c r="G39" s="93"/>
      <c r="H39" s="93"/>
      <c r="I39" s="155">
        <f>'Rider Rates'!$B$18</f>
        <v>0</v>
      </c>
      <c r="J39" s="155">
        <f>SUM(G39:I39)</f>
        <v>0</v>
      </c>
      <c r="K39" s="94"/>
      <c r="L39" s="95"/>
      <c r="M39" s="95"/>
      <c r="N39" s="95">
        <f>ROUND($D$39*'Rider Rates'!$B$18,2)+ROUND($D$39*'Rider Rates'!$E$18,2)</f>
        <v>0</v>
      </c>
      <c r="O39" s="95">
        <f t="shared" si="3"/>
        <v>0</v>
      </c>
      <c r="P39" s="220">
        <f>MAX('Rider Rates'!$D$18,'Rider Rates'!$F$18)</f>
        <v>44531</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186</v>
      </c>
      <c r="B40" s="70"/>
      <c r="C40" s="70"/>
      <c r="D40" s="90">
        <f>'Customer Info'!$B$21+'Customer Info'!$B$22-'Customer Info'!$B$23</f>
        <v>0</v>
      </c>
      <c r="E40" s="91" t="s">
        <v>41</v>
      </c>
      <c r="F40" s="92" t="s">
        <v>8</v>
      </c>
      <c r="G40" s="93">
        <f>'Rider Rates'!$B$21</f>
        <v>7.6880000000000004E-2</v>
      </c>
      <c r="H40" s="93"/>
      <c r="I40" s="93"/>
      <c r="J40" s="213">
        <f>SUM(G40:H40)</f>
        <v>7.6880000000000004E-2</v>
      </c>
      <c r="K40" s="94" t="s">
        <v>42</v>
      </c>
      <c r="L40" s="95">
        <f>ROUND(D40*G40,2)</f>
        <v>0</v>
      </c>
      <c r="M40" s="95"/>
      <c r="N40" s="95"/>
      <c r="O40" s="95">
        <f t="shared" si="3"/>
        <v>0</v>
      </c>
      <c r="P40" s="220">
        <f>'Rider Rates'!$D$21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161</v>
      </c>
      <c r="B41" s="70"/>
      <c r="C41" s="70"/>
      <c r="D41" s="90">
        <f>'Customer Info'!$B$21+'Customer Info'!$B$22-'Customer Info'!$B$23</f>
        <v>0</v>
      </c>
      <c r="E41" s="91" t="s">
        <v>41</v>
      </c>
      <c r="F41" s="92" t="s">
        <v>8</v>
      </c>
      <c r="G41" s="93">
        <f>'Rider Rates'!$B$28</f>
        <v>2.298E-2</v>
      </c>
      <c r="H41" s="93"/>
      <c r="I41" s="93"/>
      <c r="J41" s="213">
        <f>SUM(G41:H41)</f>
        <v>2.298E-2</v>
      </c>
      <c r="K41" s="94" t="s">
        <v>42</v>
      </c>
      <c r="L41" s="215">
        <f>ROUND($D$41*$G$41,2)</f>
        <v>0</v>
      </c>
      <c r="M41" s="95"/>
      <c r="N41" s="95"/>
      <c r="O41" s="95">
        <f>SUM(L41:N41)</f>
        <v>0</v>
      </c>
      <c r="P41" s="220">
        <f>'Rider Rates'!$D$28</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3"/>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SUM(G44:I44)</f>
        <v>3.55042E-2</v>
      </c>
      <c r="K44" s="94" t="s">
        <v>42</v>
      </c>
      <c r="L44" s="95"/>
      <c r="M44" s="95">
        <f>ROUND(D44*H44,2)</f>
        <v>0</v>
      </c>
      <c r="N44" s="182"/>
      <c r="O44" s="95">
        <f t="shared" si="3"/>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0"/>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$N$28</f>
        <v>10</v>
      </c>
      <c r="E47" s="91" t="s">
        <v>122</v>
      </c>
      <c r="F47" s="92" t="s">
        <v>8</v>
      </c>
      <c r="G47" s="99"/>
      <c r="H47" s="5"/>
      <c r="I47" s="106">
        <f>'Rider Rates'!$B$85</f>
        <v>3.5344300000000002E-2</v>
      </c>
      <c r="J47" s="106">
        <f>SUM(G47:I47)</f>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$N$28</f>
        <v>10</v>
      </c>
      <c r="E48" s="91" t="s">
        <v>122</v>
      </c>
      <c r="F48" s="92" t="s">
        <v>8</v>
      </c>
      <c r="G48" s="100"/>
      <c r="H48" s="101"/>
      <c r="I48" s="106">
        <f>'Rider Rates'!$B$87</f>
        <v>7.8822199999999995E-2</v>
      </c>
      <c r="J48" s="106">
        <f t="shared" si="0"/>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SUM(G49:I49)</f>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$N$28</f>
        <v>10</v>
      </c>
      <c r="E51" s="91" t="s">
        <v>122</v>
      </c>
      <c r="F51" s="92" t="s">
        <v>8</v>
      </c>
      <c r="G51" s="100"/>
      <c r="H51" s="101"/>
      <c r="I51" s="106">
        <f>'Rider Rates'!$B$105</f>
        <v>0.24079249999999999</v>
      </c>
      <c r="J51" s="214">
        <f t="shared" si="0"/>
        <v>0.24079249999999999</v>
      </c>
      <c r="K51" s="94"/>
      <c r="L51" s="95"/>
      <c r="M51" s="95"/>
      <c r="N51" s="95">
        <f>ROUND(D51*I51,2)</f>
        <v>2.41</v>
      </c>
      <c r="O51" s="95">
        <f t="shared" si="2"/>
        <v>2.41</v>
      </c>
      <c r="P51" s="220">
        <f>'Rider Rates'!$D$105</f>
        <v>45987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Info'!$B$22-'Customer Info'!$B$23</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D17</f>
        <v>0</v>
      </c>
      <c r="E56" s="91" t="s">
        <v>41</v>
      </c>
      <c r="F56" s="224" t="s">
        <v>8</v>
      </c>
      <c r="G56" s="93"/>
      <c r="H56" s="93"/>
      <c r="I56" s="93">
        <f>'Rider Rates'!B130</f>
        <v>0</v>
      </c>
      <c r="J56" s="213">
        <f>SUM(G56:I56)</f>
        <v>0</v>
      </c>
      <c r="K56" s="94" t="s">
        <v>42</v>
      </c>
      <c r="L56" s="95"/>
      <c r="M56" s="95"/>
      <c r="N56" s="95">
        <f>D56*J56</f>
        <v>0</v>
      </c>
      <c r="O56" s="95">
        <f t="shared" ref="O56" si="6">SUM(L56:N56)</f>
        <v>0</v>
      </c>
      <c r="P56" s="220">
        <f>'Rider Rates'!D130</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Rates'!D137</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SUM(L32:L58)</f>
        <v>0</v>
      </c>
      <c r="M59" s="147">
        <f t="shared" ref="M59:O59" si="7">SUM(M32:M58)</f>
        <v>0</v>
      </c>
      <c r="N59" s="147">
        <f t="shared" si="7"/>
        <v>6.37</v>
      </c>
      <c r="O59" s="147">
        <f t="shared" si="7"/>
        <v>6.37</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L28+L59</f>
        <v>0</v>
      </c>
      <c r="M61" s="163">
        <f>M28+M59</f>
        <v>0</v>
      </c>
      <c r="N61" s="163">
        <f>N28+N59</f>
        <v>16.37</v>
      </c>
      <c r="O61" s="164">
        <f>O28+O59</f>
        <v>16.37</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16.37</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8"/>
    </row>
    <row r="81" spans="1:1" x14ac:dyDescent="0.2">
      <c r="A81" s="408"/>
    </row>
    <row r="82" spans="1:1" x14ac:dyDescent="0.2">
      <c r="A82" s="408"/>
    </row>
    <row r="83" spans="1:1" x14ac:dyDescent="0.2">
      <c r="A83" s="408"/>
    </row>
    <row r="84" spans="1:1" x14ac:dyDescent="0.2">
      <c r="A84" s="408"/>
    </row>
    <row r="85" spans="1:1" x14ac:dyDescent="0.2">
      <c r="A85" s="408"/>
    </row>
    <row r="86" spans="1:1" x14ac:dyDescent="0.2">
      <c r="A86" s="408"/>
    </row>
    <row r="87" spans="1:1" x14ac:dyDescent="0.2">
      <c r="A87" s="408"/>
    </row>
    <row r="88" spans="1:1" x14ac:dyDescent="0.2">
      <c r="A88" s="408"/>
    </row>
    <row r="89" spans="1:1" x14ac:dyDescent="0.2">
      <c r="A89" s="408"/>
    </row>
    <row r="90" spans="1:1" x14ac:dyDescent="0.2">
      <c r="A90" s="408"/>
    </row>
    <row r="91" spans="1:1" x14ac:dyDescent="0.2">
      <c r="A91" s="408"/>
    </row>
    <row r="92" spans="1:1" x14ac:dyDescent="0.2">
      <c r="A92" s="408"/>
    </row>
    <row r="93" spans="1:1" x14ac:dyDescent="0.2">
      <c r="A93" s="408"/>
    </row>
    <row r="94" spans="1:1" x14ac:dyDescent="0.2">
      <c r="A94" s="408"/>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AD72"/>
  <sheetViews>
    <sheetView zoomScale="80" zoomScaleNormal="80" workbookViewId="0">
      <selection sqref="A1:P1"/>
    </sheetView>
  </sheetViews>
  <sheetFormatPr defaultColWidth="8.5703125" defaultRowHeight="12.75" x14ac:dyDescent="0.2"/>
  <cols>
    <col min="1" max="1" width="37.5703125" style="279" customWidth="1"/>
    <col min="2" max="2" width="2.140625" style="279" customWidth="1"/>
    <col min="3" max="3" width="14.5703125" style="279" customWidth="1"/>
    <col min="4" max="4" width="15.42578125" style="279" customWidth="1"/>
    <col min="5" max="5" width="9.85546875" style="279" customWidth="1"/>
    <col min="6" max="6" width="5.5703125" style="279" customWidth="1"/>
    <col min="7" max="8" width="13.42578125" style="279" customWidth="1"/>
    <col min="9" max="9" width="14.5703125" style="279" customWidth="1"/>
    <col min="10" max="10" width="14.85546875" style="279" bestFit="1" customWidth="1"/>
    <col min="11" max="11" width="7" style="279" customWidth="1"/>
    <col min="12" max="12" width="15.140625" style="279" customWidth="1"/>
    <col min="13" max="13" width="17.42578125" style="279" bestFit="1" customWidth="1"/>
    <col min="14" max="14" width="16.5703125" style="279" customWidth="1"/>
    <col min="15" max="15" width="17.42578125" style="279" bestFit="1" customWidth="1"/>
    <col min="16" max="16" width="12.85546875" style="279" bestFit="1" customWidth="1"/>
    <col min="17" max="17" width="8.5703125" style="279"/>
    <col min="18" max="18" width="13.8554687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1" t="s">
        <v>120</v>
      </c>
      <c r="B1" s="431"/>
      <c r="C1" s="431"/>
      <c r="D1" s="431"/>
      <c r="E1" s="431"/>
      <c r="F1" s="431"/>
      <c r="G1" s="431"/>
      <c r="H1" s="431"/>
      <c r="I1" s="431"/>
      <c r="J1" s="431"/>
      <c r="K1" s="431"/>
      <c r="L1" s="431"/>
      <c r="M1" s="431"/>
      <c r="N1" s="431"/>
      <c r="O1" s="431"/>
      <c r="P1" s="431"/>
    </row>
    <row r="2" spans="1:30" ht="20.25" x14ac:dyDescent="0.3">
      <c r="A2" s="431" t="s">
        <v>277</v>
      </c>
      <c r="B2" s="431"/>
      <c r="C2" s="431"/>
      <c r="D2" s="431"/>
      <c r="E2" s="431"/>
      <c r="F2" s="431"/>
      <c r="G2" s="431"/>
      <c r="H2" s="431"/>
      <c r="I2" s="431"/>
      <c r="J2" s="431"/>
      <c r="K2" s="431"/>
      <c r="L2" s="431"/>
      <c r="M2" s="431"/>
      <c r="N2" s="431"/>
      <c r="O2" s="431"/>
      <c r="P2" s="431"/>
    </row>
    <row r="3" spans="1:30" ht="18" x14ac:dyDescent="0.25">
      <c r="A3" s="432" t="s">
        <v>316</v>
      </c>
      <c r="B3" s="432"/>
      <c r="C3" s="432"/>
      <c r="D3" s="432"/>
      <c r="E3" s="432"/>
      <c r="F3" s="432"/>
      <c r="G3" s="432"/>
      <c r="H3" s="432"/>
      <c r="I3" s="432"/>
      <c r="J3" s="432"/>
      <c r="K3" s="432"/>
      <c r="L3" s="432"/>
      <c r="M3" s="432"/>
      <c r="N3" s="432"/>
      <c r="O3" s="432"/>
      <c r="P3" s="432"/>
    </row>
    <row r="4" spans="1:30" ht="15.75" x14ac:dyDescent="0.25">
      <c r="A4" s="433" t="str">
        <f>'Customer Info'!B11</f>
        <v>Breakdown of Charges Based on Entered Information</v>
      </c>
      <c r="B4" s="433"/>
      <c r="C4" s="433"/>
      <c r="D4" s="433"/>
      <c r="E4" s="433"/>
      <c r="F4" s="433"/>
      <c r="G4" s="433"/>
      <c r="H4" s="433"/>
      <c r="I4" s="433"/>
      <c r="J4" s="433"/>
      <c r="K4" s="433"/>
      <c r="L4" s="433"/>
      <c r="M4" s="433"/>
      <c r="N4" s="433"/>
      <c r="O4" s="433"/>
      <c r="P4" s="433"/>
    </row>
    <row r="5" spans="1:30" ht="15" x14ac:dyDescent="0.2">
      <c r="A5" s="280"/>
      <c r="B5" s="280"/>
      <c r="C5" s="280"/>
      <c r="D5" s="280"/>
      <c r="E5" s="280"/>
      <c r="F5" s="280"/>
      <c r="G5" s="280"/>
      <c r="H5" s="280"/>
      <c r="I5" s="280"/>
      <c r="J5" s="280"/>
      <c r="K5" s="280"/>
      <c r="L5" s="280"/>
      <c r="M5" s="280"/>
      <c r="N5" s="280"/>
      <c r="O5" s="280"/>
      <c r="P5" s="280"/>
    </row>
    <row r="6" spans="1:30" x14ac:dyDescent="0.2">
      <c r="A6" s="281">
        <f ca="1">TODAY()</f>
        <v>46051</v>
      </c>
      <c r="B6" s="282" t="s">
        <v>317</v>
      </c>
      <c r="C6" s="282"/>
      <c r="D6" s="282"/>
      <c r="E6" s="282"/>
      <c r="F6" s="282"/>
      <c r="G6" s="282"/>
      <c r="H6" s="282"/>
      <c r="I6" s="282"/>
      <c r="J6" s="282"/>
      <c r="K6" s="282"/>
      <c r="L6" s="282"/>
      <c r="M6" s="282"/>
      <c r="N6" s="282"/>
      <c r="O6" s="282"/>
    </row>
    <row r="7" spans="1:30" x14ac:dyDescent="0.2">
      <c r="A7" s="434" t="s">
        <v>15</v>
      </c>
      <c r="B7" s="434"/>
      <c r="C7" s="434"/>
      <c r="D7" s="434"/>
      <c r="E7" s="434"/>
      <c r="F7" s="434"/>
      <c r="G7" s="434"/>
      <c r="H7" s="434"/>
      <c r="I7" s="434"/>
      <c r="J7" s="434"/>
      <c r="K7" s="434"/>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2</v>
      </c>
      <c r="C11" s="289" t="str">
        <f>LOOKUP(B11,R11:AD11,R12:AD12)</f>
        <v>February</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5"/>
      <c r="B12" s="435"/>
      <c r="C12" s="435"/>
      <c r="D12" s="435"/>
      <c r="E12" s="435"/>
      <c r="F12" s="435"/>
      <c r="G12" s="435"/>
      <c r="H12" s="435"/>
      <c r="I12" s="435"/>
      <c r="J12" s="290"/>
      <c r="K12" s="290"/>
      <c r="L12" s="290"/>
      <c r="M12" s="290"/>
      <c r="N12" s="290"/>
      <c r="O12" s="290"/>
      <c r="P12" s="290"/>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2" t="s">
        <v>27</v>
      </c>
      <c r="R13" s="279" t="s">
        <v>168</v>
      </c>
      <c r="S13" s="293">
        <v>1.8274700000000001E-2</v>
      </c>
      <c r="T13" s="293">
        <v>1.8274700000000001E-2</v>
      </c>
      <c r="U13" s="293">
        <v>1.8274700000000001E-2</v>
      </c>
      <c r="V13" s="293">
        <v>1.8274700000000001E-2</v>
      </c>
      <c r="W13" s="293">
        <v>1.8274700000000001E-2</v>
      </c>
      <c r="X13" s="293">
        <v>1.8274700000000001E-2</v>
      </c>
      <c r="Y13" s="293">
        <v>1.8274700000000001E-2</v>
      </c>
      <c r="Z13" s="293">
        <v>1.8274700000000001E-2</v>
      </c>
      <c r="AA13" s="293">
        <v>1.8274700000000001E-2</v>
      </c>
      <c r="AB13" s="293">
        <v>1.8274700000000001E-2</v>
      </c>
      <c r="AC13" s="293">
        <v>1.8274700000000001E-2</v>
      </c>
      <c r="AD13" s="293">
        <v>1.8274700000000001E-2</v>
      </c>
    </row>
    <row r="14" spans="1:30" x14ac:dyDescent="0.2">
      <c r="R14" s="279" t="s">
        <v>169</v>
      </c>
      <c r="S14" s="293">
        <v>1.8274700000000001E-2</v>
      </c>
      <c r="T14" s="293">
        <v>1.8274700000000001E-2</v>
      </c>
      <c r="U14" s="293">
        <v>1.8274700000000001E-2</v>
      </c>
      <c r="V14" s="293">
        <v>1.8274700000000001E-2</v>
      </c>
      <c r="W14" s="293">
        <v>1.8274700000000001E-2</v>
      </c>
      <c r="X14" s="293">
        <v>1.8274700000000001E-2</v>
      </c>
      <c r="Y14" s="293">
        <v>1.8274700000000001E-2</v>
      </c>
      <c r="Z14" s="293">
        <v>1.8274700000000001E-2</v>
      </c>
      <c r="AA14" s="293">
        <v>1.8274700000000001E-2</v>
      </c>
      <c r="AB14" s="293">
        <v>1.8274700000000001E-2</v>
      </c>
      <c r="AC14" s="293">
        <v>1.8274700000000001E-2</v>
      </c>
      <c r="AD14" s="293">
        <v>1.8274700000000001E-2</v>
      </c>
    </row>
    <row r="15" spans="1:30" x14ac:dyDescent="0.2">
      <c r="A15" s="294" t="s">
        <v>331</v>
      </c>
      <c r="C15" s="285">
        <f>IF('Customer Info'!B21&lt;0,0,'Customer Info'!B21)</f>
        <v>0</v>
      </c>
      <c r="S15" s="293"/>
      <c r="T15" s="293"/>
      <c r="U15" s="293"/>
      <c r="V15" s="293"/>
      <c r="W15" s="293"/>
      <c r="X15" s="293"/>
      <c r="Y15" s="293"/>
      <c r="Z15" s="293"/>
      <c r="AA15" s="293"/>
      <c r="AB15" s="293"/>
      <c r="AC15" s="293"/>
      <c r="AD15" s="293"/>
    </row>
    <row r="16" spans="1:30" x14ac:dyDescent="0.2">
      <c r="A16" s="294" t="s">
        <v>332</v>
      </c>
      <c r="C16" s="285">
        <f>IF('Customer Info'!B22&lt;0,0,'Customer Info'!B22)</f>
        <v>0</v>
      </c>
      <c r="S16" s="293"/>
      <c r="T16" s="293"/>
      <c r="U16" s="293"/>
      <c r="V16" s="293"/>
      <c r="W16" s="293"/>
      <c r="X16" s="293"/>
      <c r="Y16" s="293"/>
      <c r="Z16" s="293"/>
      <c r="AA16" s="293"/>
      <c r="AB16" s="293"/>
      <c r="AC16" s="293"/>
      <c r="AD16" s="293"/>
    </row>
    <row r="17" spans="1:30" x14ac:dyDescent="0.2">
      <c r="A17" s="294" t="s">
        <v>333</v>
      </c>
      <c r="B17" s="295"/>
      <c r="C17" s="279">
        <f>C15+C16</f>
        <v>0</v>
      </c>
      <c r="D17" s="295" t="s">
        <v>41</v>
      </c>
      <c r="E17" s="295"/>
      <c r="F17" s="296"/>
      <c r="G17" s="295"/>
      <c r="H17" s="295"/>
      <c r="I17" s="295"/>
      <c r="R17" s="297" t="s">
        <v>187</v>
      </c>
      <c r="S17" s="279">
        <f>'Rider Rates'!$C$21</f>
        <v>7.6880000000000004E-2</v>
      </c>
      <c r="T17" s="279">
        <f>'Rider Rates'!$C$21</f>
        <v>7.6880000000000004E-2</v>
      </c>
      <c r="U17" s="279">
        <f>'Rider Rates'!$C$21</f>
        <v>7.6880000000000004E-2</v>
      </c>
      <c r="V17" s="279">
        <f>'Rider Rates'!$C$21</f>
        <v>7.6880000000000004E-2</v>
      </c>
      <c r="W17" s="279">
        <f>'Rider Rates'!$C$21</f>
        <v>7.6880000000000004E-2</v>
      </c>
      <c r="X17" s="279">
        <f>'Rider Rates'!$B$21</f>
        <v>7.6880000000000004E-2</v>
      </c>
      <c r="Y17" s="279">
        <f>'Rider Rates'!$B$21</f>
        <v>7.6880000000000004E-2</v>
      </c>
      <c r="Z17" s="279">
        <f>'Rider Rates'!$B$21</f>
        <v>7.6880000000000004E-2</v>
      </c>
      <c r="AA17" s="279">
        <f>'Rider Rates'!$B$21</f>
        <v>7.6880000000000004E-2</v>
      </c>
      <c r="AB17" s="279">
        <f>'Rider Rates'!$C$21</f>
        <v>7.6880000000000004E-2</v>
      </c>
      <c r="AC17" s="279">
        <f>'Rider Rates'!$C$21</f>
        <v>7.6880000000000004E-2</v>
      </c>
      <c r="AD17" s="279">
        <f>'Rider Rates'!$C$21</f>
        <v>7.6880000000000004E-2</v>
      </c>
    </row>
    <row r="18" spans="1:30" x14ac:dyDescent="0.2">
      <c r="A18" s="295"/>
      <c r="B18" s="295"/>
      <c r="C18" s="296"/>
      <c r="D18" s="296"/>
      <c r="E18" s="296"/>
      <c r="F18" s="296"/>
      <c r="G18" s="283"/>
      <c r="H18" s="295"/>
      <c r="I18" s="295"/>
    </row>
    <row r="19" spans="1:30" x14ac:dyDescent="0.2">
      <c r="A19" s="298" t="s">
        <v>124</v>
      </c>
      <c r="B19" s="299"/>
      <c r="C19" s="299"/>
      <c r="D19" s="299"/>
      <c r="E19" s="299"/>
      <c r="F19" s="299"/>
      <c r="G19" s="427" t="s">
        <v>68</v>
      </c>
      <c r="H19" s="428"/>
      <c r="I19" s="428"/>
      <c r="J19" s="429"/>
      <c r="K19" s="299"/>
      <c r="L19" s="430" t="s">
        <v>69</v>
      </c>
      <c r="M19" s="430"/>
      <c r="N19" s="430"/>
      <c r="O19" s="430"/>
    </row>
    <row r="20" spans="1:30" x14ac:dyDescent="0.2">
      <c r="G20" s="300" t="s">
        <v>65</v>
      </c>
      <c r="H20" s="300" t="s">
        <v>66</v>
      </c>
      <c r="I20" s="300" t="s">
        <v>67</v>
      </c>
      <c r="J20" s="301" t="s">
        <v>34</v>
      </c>
      <c r="L20" s="302" t="s">
        <v>65</v>
      </c>
      <c r="M20" s="302" t="s">
        <v>66</v>
      </c>
      <c r="N20" s="302" t="s">
        <v>67</v>
      </c>
      <c r="O20" s="302" t="s">
        <v>34</v>
      </c>
      <c r="P20" s="303" t="s">
        <v>57</v>
      </c>
    </row>
    <row r="21" spans="1:30" x14ac:dyDescent="0.2">
      <c r="A21" s="304" t="s">
        <v>32</v>
      </c>
      <c r="G21" s="305"/>
      <c r="H21" s="305"/>
      <c r="I21" s="225">
        <f>'Rider Rates'!B142</f>
        <v>10</v>
      </c>
      <c r="J21" s="225">
        <f>SUM(G21:I21)</f>
        <v>10</v>
      </c>
      <c r="L21" s="225"/>
      <c r="M21" s="225"/>
      <c r="N21" s="225">
        <f>I21</f>
        <v>10</v>
      </c>
      <c r="O21" s="225">
        <f>+SUM(L21:N21)</f>
        <v>10</v>
      </c>
      <c r="P21" s="306">
        <v>44531</v>
      </c>
    </row>
    <row r="22" spans="1:30" x14ac:dyDescent="0.2">
      <c r="A22" s="307" t="s">
        <v>329</v>
      </c>
      <c r="D22" s="308">
        <f>C15</f>
        <v>0</v>
      </c>
      <c r="E22" s="309" t="s">
        <v>41</v>
      </c>
      <c r="F22" s="310" t="s">
        <v>8</v>
      </c>
      <c r="G22" s="311"/>
      <c r="H22" s="311"/>
      <c r="I22" s="311">
        <f>'Rider Rates'!C142</f>
        <v>3.7427700000000001E-2</v>
      </c>
      <c r="J22" s="311">
        <f>SUM(G22:I22)</f>
        <v>3.7427700000000001E-2</v>
      </c>
      <c r="K22" s="312" t="s">
        <v>42</v>
      </c>
      <c r="L22" s="313"/>
      <c r="M22" s="313"/>
      <c r="N22" s="313">
        <f>ROUND($D22*I22,2)</f>
        <v>0</v>
      </c>
      <c r="O22" s="225">
        <f>+SUM(L22:N22)</f>
        <v>0</v>
      </c>
      <c r="P22" s="306">
        <f>'Rider Rates'!H142</f>
        <v>45444</v>
      </c>
    </row>
    <row r="23" spans="1:30" x14ac:dyDescent="0.2">
      <c r="A23" s="307" t="s">
        <v>330</v>
      </c>
      <c r="D23" s="308">
        <f>C16</f>
        <v>0</v>
      </c>
      <c r="E23" s="312" t="s">
        <v>92</v>
      </c>
      <c r="F23" s="310"/>
      <c r="G23" s="311"/>
      <c r="H23" s="311"/>
      <c r="I23" s="311">
        <f>'Rider Rates'!D142</f>
        <v>1.5787499999999999E-2</v>
      </c>
      <c r="J23" s="311">
        <f>SUM(G23:I23)</f>
        <v>1.5787499999999999E-2</v>
      </c>
      <c r="K23" s="312" t="s">
        <v>42</v>
      </c>
      <c r="L23" s="313"/>
      <c r="M23" s="313"/>
      <c r="N23" s="313">
        <f>ROUND($D23*I23,2)</f>
        <v>0</v>
      </c>
      <c r="O23" s="225">
        <f>+SUM(L23:N23)</f>
        <v>0</v>
      </c>
      <c r="P23" s="306">
        <f>'Rider Rates'!H142</f>
        <v>45444</v>
      </c>
    </row>
    <row r="24" spans="1:30" x14ac:dyDescent="0.2">
      <c r="A24" s="314" t="s">
        <v>75</v>
      </c>
      <c r="B24" s="315"/>
      <c r="C24" s="315"/>
      <c r="D24" s="316"/>
      <c r="E24" s="316"/>
      <c r="F24" s="315"/>
      <c r="G24" s="315"/>
      <c r="I24" s="317"/>
      <c r="K24" s="318"/>
      <c r="L24" s="319"/>
      <c r="M24" s="320"/>
      <c r="N24" s="319">
        <f>SUM(N19:N23)</f>
        <v>10</v>
      </c>
      <c r="O24" s="319">
        <f>SUM(O21:O23)</f>
        <v>10</v>
      </c>
      <c r="R24" s="321"/>
      <c r="S24" s="312"/>
      <c r="T24" s="322"/>
      <c r="V24" s="323"/>
    </row>
    <row r="25" spans="1:30" x14ac:dyDescent="0.2">
      <c r="A25" s="324"/>
      <c r="B25" s="324"/>
      <c r="C25" s="324"/>
      <c r="D25" s="325"/>
      <c r="E25" s="325"/>
      <c r="F25" s="324"/>
      <c r="G25" s="325"/>
      <c r="H25" s="325"/>
      <c r="I25" s="325"/>
      <c r="J25" s="325"/>
      <c r="K25" s="326"/>
      <c r="L25" s="325"/>
      <c r="M25" s="325"/>
      <c r="N25" s="325"/>
      <c r="O25" s="325"/>
      <c r="P25" s="325"/>
      <c r="R25" s="327"/>
      <c r="S25" s="312"/>
      <c r="T25" s="322"/>
      <c r="V25" s="323"/>
    </row>
    <row r="26" spans="1:30" x14ac:dyDescent="0.2">
      <c r="A26" s="292" t="s">
        <v>70</v>
      </c>
      <c r="B26" s="315"/>
      <c r="C26" s="315"/>
      <c r="D26" s="316"/>
      <c r="E26" s="316"/>
      <c r="F26" s="315"/>
      <c r="G26" s="316"/>
      <c r="H26" s="316"/>
      <c r="I26" s="316"/>
      <c r="J26" s="316"/>
      <c r="K26" s="316"/>
      <c r="L26" s="316"/>
      <c r="M26" s="316"/>
      <c r="N26" s="316"/>
      <c r="O26" s="316"/>
      <c r="R26" s="327"/>
      <c r="S26" s="312"/>
      <c r="T26" s="322"/>
      <c r="V26" s="323"/>
    </row>
    <row r="27" spans="1:30" x14ac:dyDescent="0.2">
      <c r="P27" s="310"/>
      <c r="R27" s="327"/>
      <c r="S27" s="312"/>
      <c r="T27" s="322"/>
      <c r="V27" s="323"/>
    </row>
    <row r="28" spans="1:30" x14ac:dyDescent="0.2">
      <c r="A28" s="328" t="s">
        <v>79</v>
      </c>
      <c r="B28" s="329"/>
      <c r="C28" s="329"/>
      <c r="D28" s="308">
        <f>IF($C$17&lt;0,0,IF($C$17&gt;833000,833000,$C$17))</f>
        <v>0</v>
      </c>
      <c r="E28" s="309" t="s">
        <v>41</v>
      </c>
      <c r="F28" s="310" t="s">
        <v>8</v>
      </c>
      <c r="G28" s="330"/>
      <c r="H28" s="330"/>
      <c r="I28" s="330">
        <f>'Rider Rates'!$B$4</f>
        <v>5.5215000000000004E-3</v>
      </c>
      <c r="J28" s="331">
        <f t="shared" ref="J28:J48" si="0">SUM(G28:I28)</f>
        <v>5.5215000000000004E-3</v>
      </c>
      <c r="K28" s="312" t="s">
        <v>42</v>
      </c>
      <c r="L28" s="225"/>
      <c r="M28" s="225"/>
      <c r="N28" s="225">
        <f t="shared" ref="N28:N33" si="1">ROUND(D28*I28,2)</f>
        <v>0</v>
      </c>
      <c r="O28" s="225">
        <f t="shared" ref="O28:O49" si="2">SUM(L28:N28)</f>
        <v>0</v>
      </c>
      <c r="P28" s="306">
        <f>'Rider Rates'!$D$4</f>
        <v>46022</v>
      </c>
      <c r="R28" s="327"/>
      <c r="S28" s="312"/>
      <c r="T28" s="322"/>
      <c r="V28" s="323"/>
    </row>
    <row r="29" spans="1:30" x14ac:dyDescent="0.2">
      <c r="A29" s="328" t="s">
        <v>80</v>
      </c>
      <c r="D29" s="308">
        <f>IF($C$17&gt;833000,$C$17-833000,0)</f>
        <v>0</v>
      </c>
      <c r="E29" s="309" t="s">
        <v>41</v>
      </c>
      <c r="F29" s="310" t="s">
        <v>8</v>
      </c>
      <c r="G29" s="330"/>
      <c r="H29" s="330"/>
      <c r="I29" s="330">
        <f>'Rider Rates'!$B$5</f>
        <v>1.7560000000000001E-4</v>
      </c>
      <c r="J29" s="331">
        <f t="shared" si="0"/>
        <v>1.7560000000000001E-4</v>
      </c>
      <c r="K29" s="312" t="s">
        <v>42</v>
      </c>
      <c r="L29" s="225"/>
      <c r="M29" s="225"/>
      <c r="N29" s="225">
        <f t="shared" si="1"/>
        <v>0</v>
      </c>
      <c r="O29" s="225">
        <f t="shared" si="2"/>
        <v>0</v>
      </c>
      <c r="P29" s="306">
        <f>'Rider Rates'!$D$4</f>
        <v>46022</v>
      </c>
      <c r="R29" s="327"/>
      <c r="S29" s="312"/>
      <c r="T29" s="322"/>
      <c r="V29" s="323"/>
    </row>
    <row r="30" spans="1:30" x14ac:dyDescent="0.2">
      <c r="A30" s="328" t="s">
        <v>97</v>
      </c>
      <c r="D30" s="308">
        <f>IF($C$17&lt;0,0,IF($C$17&gt;2000,2000,$C$17))</f>
        <v>0</v>
      </c>
      <c r="E30" s="309" t="s">
        <v>41</v>
      </c>
      <c r="F30" s="310" t="s">
        <v>8</v>
      </c>
      <c r="G30" s="330"/>
      <c r="H30" s="330"/>
      <c r="I30" s="332">
        <f>'Rider Rates'!$B$8</f>
        <v>4.6499999999999996E-3</v>
      </c>
      <c r="J30" s="332">
        <f t="shared" si="0"/>
        <v>4.6499999999999996E-3</v>
      </c>
      <c r="K30" s="312" t="s">
        <v>42</v>
      </c>
      <c r="L30" s="225"/>
      <c r="M30" s="225"/>
      <c r="N30" s="225">
        <f t="shared" si="1"/>
        <v>0</v>
      </c>
      <c r="O30" s="225">
        <f t="shared" si="2"/>
        <v>0</v>
      </c>
      <c r="P30" s="306">
        <f>'Rider Rates'!$D$7</f>
        <v>44531</v>
      </c>
      <c r="R30" s="327"/>
      <c r="S30" s="312"/>
      <c r="T30" s="322"/>
      <c r="V30" s="323"/>
    </row>
    <row r="31" spans="1:30" x14ac:dyDescent="0.2">
      <c r="A31" s="328" t="s">
        <v>98</v>
      </c>
      <c r="D31" s="308">
        <f>IF($C$17&lt;=2000,0,IF($C$17=0,0,IF($C$17-2000&gt;13000,13000,$C$17-2000)))</f>
        <v>0</v>
      </c>
      <c r="E31" s="309" t="s">
        <v>41</v>
      </c>
      <c r="F31" s="310" t="s">
        <v>8</v>
      </c>
      <c r="G31" s="330"/>
      <c r="H31" s="330"/>
      <c r="I31" s="332">
        <f>'Rider Rates'!$B$9</f>
        <v>4.1900000000000001E-3</v>
      </c>
      <c r="J31" s="332">
        <f t="shared" si="0"/>
        <v>4.1900000000000001E-3</v>
      </c>
      <c r="K31" s="312" t="s">
        <v>42</v>
      </c>
      <c r="L31" s="225"/>
      <c r="M31" s="225"/>
      <c r="N31" s="225">
        <f t="shared" si="1"/>
        <v>0</v>
      </c>
      <c r="O31" s="225">
        <f t="shared" si="2"/>
        <v>0</v>
      </c>
      <c r="P31" s="306">
        <f>'Rider Rates'!$D$7</f>
        <v>44531</v>
      </c>
      <c r="R31" s="327"/>
      <c r="S31" s="312"/>
      <c r="T31" s="322"/>
      <c r="V31" s="323"/>
    </row>
    <row r="32" spans="1:30" x14ac:dyDescent="0.2">
      <c r="A32" s="328" t="s">
        <v>99</v>
      </c>
      <c r="D32" s="308">
        <f>IF($C$17=0,0,IF($C$17-15000&gt;=0,$C$17-15000,0))</f>
        <v>0</v>
      </c>
      <c r="E32" s="309" t="s">
        <v>41</v>
      </c>
      <c r="F32" s="310" t="s">
        <v>8</v>
      </c>
      <c r="G32" s="330"/>
      <c r="H32" s="330"/>
      <c r="I32" s="332">
        <f>'Rider Rates'!$B$10</f>
        <v>3.63E-3</v>
      </c>
      <c r="J32" s="332">
        <f t="shared" si="0"/>
        <v>3.63E-3</v>
      </c>
      <c r="K32" s="312" t="s">
        <v>42</v>
      </c>
      <c r="L32" s="225"/>
      <c r="M32" s="225"/>
      <c r="N32" s="225">
        <f t="shared" si="1"/>
        <v>0</v>
      </c>
      <c r="O32" s="225">
        <f t="shared" si="2"/>
        <v>0</v>
      </c>
      <c r="P32" s="306">
        <f>'Rider Rates'!$D$7</f>
        <v>44531</v>
      </c>
      <c r="R32" s="327"/>
      <c r="S32" s="312"/>
      <c r="T32" s="322"/>
      <c r="V32" s="323"/>
    </row>
    <row r="33" spans="1:22" x14ac:dyDescent="0.2">
      <c r="A33" s="328" t="s">
        <v>114</v>
      </c>
      <c r="D33" s="333">
        <f>$N$24</f>
        <v>10</v>
      </c>
      <c r="E33" s="309" t="s">
        <v>122</v>
      </c>
      <c r="F33" s="310" t="s">
        <v>8</v>
      </c>
      <c r="G33" s="330"/>
      <c r="H33" s="330"/>
      <c r="I33" s="334">
        <f>'Rider Rates'!$B$12</f>
        <v>0</v>
      </c>
      <c r="J33" s="334">
        <f t="shared" si="0"/>
        <v>0</v>
      </c>
      <c r="K33" s="312"/>
      <c r="L33" s="225"/>
      <c r="M33" s="225"/>
      <c r="N33" s="225">
        <f t="shared" si="1"/>
        <v>0</v>
      </c>
      <c r="O33" s="225">
        <f t="shared" si="2"/>
        <v>0</v>
      </c>
      <c r="P33" s="306">
        <f>'Rider Rates'!$D$12</f>
        <v>44531</v>
      </c>
      <c r="R33" s="327"/>
      <c r="S33" s="312"/>
      <c r="T33" s="322"/>
      <c r="V33" s="323"/>
    </row>
    <row r="34" spans="1:22" x14ac:dyDescent="0.2">
      <c r="A34" s="297" t="s">
        <v>159</v>
      </c>
      <c r="D34" s="308">
        <f>IF($C$17&lt;0,0,$C$17)</f>
        <v>0</v>
      </c>
      <c r="E34" s="309" t="s">
        <v>41</v>
      </c>
      <c r="F34" s="310" t="s">
        <v>8</v>
      </c>
      <c r="G34" s="330"/>
      <c r="H34" s="330"/>
      <c r="I34" s="330">
        <f>'Rider Rates'!$B$15</f>
        <v>0</v>
      </c>
      <c r="J34" s="330">
        <f>SUM(G34:I34)</f>
        <v>0</v>
      </c>
      <c r="K34" s="312" t="s">
        <v>42</v>
      </c>
      <c r="L34" s="225"/>
      <c r="M34" s="225"/>
      <c r="N34" s="225">
        <f>ROUND(D34*I34,2)</f>
        <v>0</v>
      </c>
      <c r="O34" s="225">
        <f t="shared" si="2"/>
        <v>0</v>
      </c>
      <c r="P34" s="306">
        <f>'Rider Rates'!$D$15</f>
        <v>45505</v>
      </c>
      <c r="R34" s="327"/>
      <c r="S34" s="312"/>
      <c r="T34" s="322"/>
      <c r="V34" s="323"/>
    </row>
    <row r="35" spans="1:22" x14ac:dyDescent="0.2">
      <c r="A35" s="297" t="s">
        <v>237</v>
      </c>
      <c r="D35" s="333">
        <f>$N$24</f>
        <v>10</v>
      </c>
      <c r="E35" s="309" t="s">
        <v>122</v>
      </c>
      <c r="F35" s="310" t="s">
        <v>8</v>
      </c>
      <c r="G35" s="330"/>
      <c r="H35" s="330"/>
      <c r="I35" s="334">
        <f>'Rider Rates'!$B$18+'Rider Rates'!$E$18</f>
        <v>0</v>
      </c>
      <c r="J35" s="334">
        <f>SUM(G35:I35)</f>
        <v>0</v>
      </c>
      <c r="K35" s="312"/>
      <c r="L35" s="225"/>
      <c r="M35" s="225"/>
      <c r="N35" s="225">
        <f>ROUND($D$35*'Rider Rates'!$B$18,2)+ROUND($D$35*'Rider Rates'!$E$18,2)</f>
        <v>0</v>
      </c>
      <c r="O35" s="225">
        <f t="shared" si="2"/>
        <v>0</v>
      </c>
      <c r="P35" s="306">
        <f>MAX('Rider Rates'!$D$18,'Rider Rates'!$F$18)</f>
        <v>44531</v>
      </c>
      <c r="R35" s="327"/>
      <c r="S35" s="312"/>
      <c r="T35" s="322"/>
      <c r="V35" s="323"/>
    </row>
    <row r="36" spans="1:22" x14ac:dyDescent="0.2">
      <c r="A36" s="297" t="s">
        <v>186</v>
      </c>
      <c r="D36" s="308">
        <f>'Customer Info'!$B$21+'Customer Info'!$B$22</f>
        <v>0</v>
      </c>
      <c r="E36" s="309" t="s">
        <v>41</v>
      </c>
      <c r="F36" s="310" t="s">
        <v>8</v>
      </c>
      <c r="G36" s="330">
        <f>'Rider Rates'!B21</f>
        <v>7.6880000000000004E-2</v>
      </c>
      <c r="H36" s="330"/>
      <c r="I36" s="330"/>
      <c r="J36" s="335">
        <f>SUM(G36:H36)</f>
        <v>7.6880000000000004E-2</v>
      </c>
      <c r="K36" s="312" t="s">
        <v>42</v>
      </c>
      <c r="L36" s="225">
        <f>ROUND(D36*G36,2)</f>
        <v>0</v>
      </c>
      <c r="M36" s="225"/>
      <c r="N36" s="225"/>
      <c r="O36" s="225">
        <f t="shared" si="2"/>
        <v>0</v>
      </c>
      <c r="P36" s="306">
        <f>'Rider Rates'!$D$21</f>
        <v>45809</v>
      </c>
      <c r="R36" s="327"/>
      <c r="S36" s="312"/>
      <c r="T36" s="322"/>
      <c r="V36" s="323"/>
    </row>
    <row r="37" spans="1:22" x14ac:dyDescent="0.2">
      <c r="A37" s="279" t="s">
        <v>172</v>
      </c>
      <c r="D37" s="308">
        <f>'Customer Info'!$B$21+'Customer Info'!$B$22</f>
        <v>0</v>
      </c>
      <c r="E37" s="309" t="s">
        <v>41</v>
      </c>
      <c r="F37" s="310" t="s">
        <v>8</v>
      </c>
      <c r="G37" s="330">
        <f>'Rider Rates'!$B$28</f>
        <v>2.298E-2</v>
      </c>
      <c r="H37" s="330"/>
      <c r="I37" s="330"/>
      <c r="J37" s="335">
        <f>SUM(G37:H37)</f>
        <v>2.298E-2</v>
      </c>
      <c r="K37" s="312" t="s">
        <v>42</v>
      </c>
      <c r="L37" s="225">
        <f>ROUND(D37*G37,2)</f>
        <v>0</v>
      </c>
      <c r="M37" s="225"/>
      <c r="N37" s="225"/>
      <c r="O37" s="225">
        <f t="shared" si="2"/>
        <v>0</v>
      </c>
      <c r="P37" s="306">
        <f>'Rider Rates'!$D$29</f>
        <v>45809</v>
      </c>
      <c r="R37" s="327"/>
      <c r="S37" s="312"/>
      <c r="T37" s="322"/>
      <c r="V37" s="323"/>
    </row>
    <row r="38" spans="1:22" x14ac:dyDescent="0.2">
      <c r="A38" s="297" t="s">
        <v>193</v>
      </c>
      <c r="D38" s="308">
        <f>'Customer Info'!$B$21+'Customer Info'!$B$22</f>
        <v>0</v>
      </c>
      <c r="E38" s="309" t="s">
        <v>41</v>
      </c>
      <c r="F38" s="310" t="s">
        <v>8</v>
      </c>
      <c r="G38" s="330">
        <f>'Rider Rates'!B45</f>
        <v>2.7588999999999999E-3</v>
      </c>
      <c r="H38" s="330"/>
      <c r="I38" s="330"/>
      <c r="J38" s="335">
        <f>SUM(G38:H38)</f>
        <v>2.7588999999999999E-3</v>
      </c>
      <c r="K38" s="312" t="s">
        <v>42</v>
      </c>
      <c r="L38" s="225">
        <f>ROUND(D38*G38,2)</f>
        <v>0</v>
      </c>
      <c r="M38" s="225"/>
      <c r="N38" s="225"/>
      <c r="O38" s="225">
        <f>SUM(L38:N38)</f>
        <v>0</v>
      </c>
      <c r="P38" s="306">
        <f>'Rider Rates'!$D$45</f>
        <v>46022</v>
      </c>
      <c r="R38" s="327"/>
      <c r="S38" s="312"/>
      <c r="T38" s="322"/>
      <c r="V38" s="323"/>
    </row>
    <row r="39" spans="1:22" x14ac:dyDescent="0.2">
      <c r="A39" s="279" t="s">
        <v>210</v>
      </c>
      <c r="D39" s="308"/>
      <c r="E39" s="309" t="s">
        <v>115</v>
      </c>
      <c r="F39" s="310" t="s">
        <v>15</v>
      </c>
      <c r="G39" s="330"/>
      <c r="H39" s="330"/>
      <c r="I39" s="330">
        <f>'Rider Rates'!D48</f>
        <v>0</v>
      </c>
      <c r="J39" s="330">
        <f>SUM(G39:I39)</f>
        <v>0</v>
      </c>
      <c r="K39" s="312" t="s">
        <v>42</v>
      </c>
      <c r="L39" s="225"/>
      <c r="M39" s="225"/>
      <c r="N39" s="225">
        <f>J39</f>
        <v>0</v>
      </c>
      <c r="O39" s="225">
        <f>SUM(L39:N39)</f>
        <v>0</v>
      </c>
      <c r="P39" s="306">
        <f>'Rider Rates'!E48</f>
        <v>45883</v>
      </c>
      <c r="R39" s="327"/>
      <c r="S39" s="312"/>
      <c r="T39" s="322"/>
      <c r="V39" s="323"/>
    </row>
    <row r="40" spans="1:22" x14ac:dyDescent="0.2">
      <c r="A40" s="297" t="s">
        <v>189</v>
      </c>
      <c r="D40" s="308">
        <f>IF($C$17&lt;0,0,$C$17)</f>
        <v>0</v>
      </c>
      <c r="E40" s="309" t="s">
        <v>41</v>
      </c>
      <c r="F40" s="310" t="s">
        <v>8</v>
      </c>
      <c r="G40" s="330"/>
      <c r="H40" s="330">
        <f>'Rider Rates'!$B$55</f>
        <v>3.55042E-2</v>
      </c>
      <c r="I40" s="330"/>
      <c r="J40" s="330">
        <f>SUM(G40:I40)</f>
        <v>3.55042E-2</v>
      </c>
      <c r="K40" s="312" t="s">
        <v>42</v>
      </c>
      <c r="L40" s="225"/>
      <c r="M40" s="225">
        <f>ROUND(D40*H40,2)</f>
        <v>0</v>
      </c>
      <c r="N40" s="336"/>
      <c r="O40" s="225">
        <f t="shared" si="2"/>
        <v>0</v>
      </c>
      <c r="P40" s="306">
        <f>'Rider Rates'!$D$55</f>
        <v>45929</v>
      </c>
      <c r="R40" s="327"/>
      <c r="S40" s="312"/>
      <c r="T40" s="322"/>
      <c r="V40" s="323"/>
    </row>
    <row r="41" spans="1:22" x14ac:dyDescent="0.2">
      <c r="A41" s="328" t="s">
        <v>337</v>
      </c>
      <c r="D41" s="308">
        <f>IF($C$17&lt;0,0,$C$17)</f>
        <v>0</v>
      </c>
      <c r="E41" s="309" t="s">
        <v>41</v>
      </c>
      <c r="F41" s="310" t="s">
        <v>8</v>
      </c>
      <c r="G41" s="330"/>
      <c r="H41" s="330"/>
      <c r="I41" s="330">
        <f>'Rider Rates'!$B$66</f>
        <v>7.3870000000000001E-4</v>
      </c>
      <c r="J41" s="330">
        <f t="shared" ref="J41" si="3">SUM(G41:I41)</f>
        <v>7.3870000000000001E-4</v>
      </c>
      <c r="K41" s="312" t="s">
        <v>42</v>
      </c>
      <c r="L41" s="225"/>
      <c r="M41" s="225"/>
      <c r="N41" s="225">
        <f>ROUND($D$41*'Rider Rates'!$B$66,2)</f>
        <v>0</v>
      </c>
      <c r="O41" s="225">
        <f t="shared" ref="O41" si="4">SUM(L41:N41)</f>
        <v>0</v>
      </c>
      <c r="P41" s="306">
        <f>'Rider Rates'!$D$66</f>
        <v>45747</v>
      </c>
      <c r="R41" s="327"/>
      <c r="S41" s="312"/>
      <c r="T41" s="322"/>
      <c r="V41" s="323"/>
    </row>
    <row r="42" spans="1:22" x14ac:dyDescent="0.2">
      <c r="A42" s="328" t="s">
        <v>96</v>
      </c>
      <c r="D42" s="308">
        <f>IF('Customer Info'!C34=TRUE,0,IF($C$17&lt;0,0,$C$17))</f>
        <v>0</v>
      </c>
      <c r="E42" s="309" t="s">
        <v>41</v>
      </c>
      <c r="F42" s="310" t="s">
        <v>8</v>
      </c>
      <c r="G42" s="330"/>
      <c r="H42" s="330"/>
      <c r="I42" s="330">
        <f>'Rider Rates'!$B$69+'Rider Rates'!$C$69</f>
        <v>0</v>
      </c>
      <c r="J42" s="330">
        <f t="shared" si="0"/>
        <v>0</v>
      </c>
      <c r="K42" s="312" t="s">
        <v>42</v>
      </c>
      <c r="L42" s="225"/>
      <c r="M42" s="225"/>
      <c r="N42" s="225">
        <f>ROUND($D$42*'Rider Rates'!$B$69,2)+ROUND($D$42*'Rider Rates'!$C$69,2)</f>
        <v>0</v>
      </c>
      <c r="O42" s="225">
        <f t="shared" si="2"/>
        <v>0</v>
      </c>
      <c r="P42" s="306">
        <f>'Rider Rates'!$D$69</f>
        <v>45444</v>
      </c>
      <c r="R42" s="327"/>
      <c r="S42" s="312"/>
      <c r="T42" s="322"/>
      <c r="V42" s="323"/>
    </row>
    <row r="43" spans="1:22" x14ac:dyDescent="0.2">
      <c r="A43" s="328" t="s">
        <v>81</v>
      </c>
      <c r="D43" s="333">
        <f>$N$24</f>
        <v>10</v>
      </c>
      <c r="E43" s="309" t="s">
        <v>122</v>
      </c>
      <c r="F43" s="310" t="s">
        <v>8</v>
      </c>
      <c r="G43" s="337"/>
      <c r="H43" s="301"/>
      <c r="I43" s="338">
        <f>'Rider Rates'!$B$85</f>
        <v>3.5344300000000002E-2</v>
      </c>
      <c r="J43" s="338">
        <f t="shared" si="0"/>
        <v>3.5344300000000002E-2</v>
      </c>
      <c r="K43" s="312"/>
      <c r="L43" s="225"/>
      <c r="M43" s="225"/>
      <c r="N43" s="225">
        <f>ROUND(D43*I43,2)</f>
        <v>0.35</v>
      </c>
      <c r="O43" s="225">
        <f t="shared" si="2"/>
        <v>0.35</v>
      </c>
      <c r="P43" s="306">
        <f>'Rider Rates'!$D$85</f>
        <v>45929</v>
      </c>
      <c r="R43" s="327"/>
      <c r="S43" s="312"/>
      <c r="T43" s="322"/>
      <c r="V43" s="323"/>
    </row>
    <row r="44" spans="1:22" x14ac:dyDescent="0.2">
      <c r="A44" s="328" t="s">
        <v>82</v>
      </c>
      <c r="D44" s="333">
        <f>$N$24</f>
        <v>10</v>
      </c>
      <c r="E44" s="309" t="s">
        <v>122</v>
      </c>
      <c r="F44" s="310" t="s">
        <v>8</v>
      </c>
      <c r="G44" s="339"/>
      <c r="H44" s="301"/>
      <c r="I44" s="338">
        <f>'Rider Rates'!$B$87</f>
        <v>7.8822199999999995E-2</v>
      </c>
      <c r="J44" s="338">
        <f t="shared" si="0"/>
        <v>7.8822199999999995E-2</v>
      </c>
      <c r="K44" s="312"/>
      <c r="L44" s="225"/>
      <c r="M44" s="225"/>
      <c r="N44" s="225">
        <f>ROUND(D44*I44,2)</f>
        <v>0.79</v>
      </c>
      <c r="O44" s="225">
        <f t="shared" si="2"/>
        <v>0.79</v>
      </c>
      <c r="P44" s="306">
        <f>'Rider Rates'!$D$87</f>
        <v>45987</v>
      </c>
      <c r="R44" s="327"/>
      <c r="S44" s="312"/>
      <c r="T44" s="322"/>
      <c r="V44" s="323"/>
    </row>
    <row r="45" spans="1:22" x14ac:dyDescent="0.2">
      <c r="A45" s="297" t="s">
        <v>206</v>
      </c>
      <c r="D45" s="333"/>
      <c r="E45" s="309" t="s">
        <v>115</v>
      </c>
      <c r="F45" s="310"/>
      <c r="G45" s="339"/>
      <c r="H45" s="301"/>
      <c r="I45" s="340">
        <f>'Rider Rates'!$B$90</f>
        <v>2.62</v>
      </c>
      <c r="J45" s="340">
        <f t="shared" si="0"/>
        <v>2.62</v>
      </c>
      <c r="K45" s="312"/>
      <c r="L45" s="225"/>
      <c r="M45" s="225"/>
      <c r="N45" s="225">
        <f>I45</f>
        <v>2.62</v>
      </c>
      <c r="O45" s="225">
        <f t="shared" si="2"/>
        <v>2.62</v>
      </c>
      <c r="P45" s="306">
        <f>'Rider Rates'!$D$90</f>
        <v>46022</v>
      </c>
      <c r="R45" s="327"/>
      <c r="S45" s="312"/>
      <c r="T45" s="322"/>
      <c r="V45" s="323"/>
    </row>
    <row r="46" spans="1:22" x14ac:dyDescent="0.2">
      <c r="A46" s="297" t="s">
        <v>239</v>
      </c>
      <c r="D46" s="308">
        <f>IF($C$17&lt;0,0,$C$17)</f>
        <v>0</v>
      </c>
      <c r="E46" s="309" t="s">
        <v>41</v>
      </c>
      <c r="F46" s="310" t="s">
        <v>8</v>
      </c>
      <c r="G46" s="330"/>
      <c r="H46" s="330"/>
      <c r="I46" s="330"/>
      <c r="J46" s="330">
        <f>'Rider Rates'!$B$94</f>
        <v>0</v>
      </c>
      <c r="K46" s="312" t="s">
        <v>42</v>
      </c>
      <c r="L46" s="225"/>
      <c r="M46" s="225"/>
      <c r="N46" s="225"/>
      <c r="O46" s="225">
        <f>ROUND($D46*('Rider Rates'!B$94),2)</f>
        <v>0</v>
      </c>
      <c r="P46" s="306">
        <f>'Rider Rates'!$D$94</f>
        <v>44531</v>
      </c>
      <c r="Q46" s="310"/>
      <c r="R46" s="327"/>
      <c r="S46" s="312"/>
      <c r="T46" s="322"/>
      <c r="V46" s="323"/>
    </row>
    <row r="47" spans="1:22" x14ac:dyDescent="0.2">
      <c r="A47" s="328" t="s">
        <v>156</v>
      </c>
      <c r="D47" s="333">
        <f>$N$24</f>
        <v>10</v>
      </c>
      <c r="E47" s="309" t="s">
        <v>122</v>
      </c>
      <c r="F47" s="310" t="s">
        <v>8</v>
      </c>
      <c r="G47" s="339"/>
      <c r="H47" s="301"/>
      <c r="I47" s="338">
        <f>'Rider Rates'!$B$105</f>
        <v>0.24079249999999999</v>
      </c>
      <c r="J47" s="338">
        <f t="shared" si="0"/>
        <v>0.24079249999999999</v>
      </c>
      <c r="K47" s="312"/>
      <c r="L47" s="225"/>
      <c r="M47" s="225"/>
      <c r="N47" s="225">
        <f>ROUND(D47*I47,2)</f>
        <v>2.41</v>
      </c>
      <c r="O47" s="225">
        <f t="shared" si="2"/>
        <v>2.41</v>
      </c>
      <c r="P47" s="306">
        <f>'Rider Rates'!$D$105</f>
        <v>45987</v>
      </c>
      <c r="Q47" s="310"/>
      <c r="R47" s="327"/>
      <c r="S47" s="312"/>
      <c r="T47" s="322"/>
      <c r="V47" s="323"/>
    </row>
    <row r="48" spans="1:22" x14ac:dyDescent="0.2">
      <c r="A48" s="297" t="s">
        <v>217</v>
      </c>
      <c r="D48" s="333"/>
      <c r="E48" s="309" t="s">
        <v>115</v>
      </c>
      <c r="F48" s="310"/>
      <c r="G48" s="339"/>
      <c r="H48" s="301"/>
      <c r="I48" s="341">
        <f>'Rider Rates'!B121</f>
        <v>0.2</v>
      </c>
      <c r="J48" s="340">
        <f t="shared" si="0"/>
        <v>0.2</v>
      </c>
      <c r="K48" s="312"/>
      <c r="L48" s="225"/>
      <c r="M48" s="225"/>
      <c r="N48" s="342">
        <f>I48</f>
        <v>0.2</v>
      </c>
      <c r="O48" s="225">
        <f t="shared" si="2"/>
        <v>0.2</v>
      </c>
      <c r="P48" s="306">
        <f>'Rider Rates'!D121</f>
        <v>45958</v>
      </c>
      <c r="Q48" s="310"/>
      <c r="R48" s="327"/>
      <c r="S48" s="312"/>
      <c r="T48" s="322"/>
      <c r="V48" s="323"/>
    </row>
    <row r="49" spans="1:22" x14ac:dyDescent="0.2">
      <c r="A49" s="328" t="s">
        <v>157</v>
      </c>
      <c r="D49" s="308">
        <f>'Customer Info'!$B$21+'Customer Info'!$B$22</f>
        <v>0</v>
      </c>
      <c r="E49" s="309" t="s">
        <v>41</v>
      </c>
      <c r="F49" s="310" t="s">
        <v>8</v>
      </c>
      <c r="G49" s="330">
        <f>'Rider Rates'!$B$112</f>
        <v>3.8972999999999998E-3</v>
      </c>
      <c r="H49" s="330"/>
      <c r="I49" s="338"/>
      <c r="J49" s="335">
        <f>SUM(G49:H49)</f>
        <v>3.8972999999999998E-3</v>
      </c>
      <c r="K49" s="312" t="s">
        <v>42</v>
      </c>
      <c r="L49" s="225">
        <f>ROUND(D49*G49,2)</f>
        <v>0</v>
      </c>
      <c r="M49" s="225"/>
      <c r="N49" s="225"/>
      <c r="O49" s="225">
        <f t="shared" si="2"/>
        <v>0</v>
      </c>
      <c r="P49" s="306">
        <f>'Rider Rates'!$D$112</f>
        <v>44531</v>
      </c>
      <c r="Q49" s="310"/>
      <c r="R49" s="327"/>
      <c r="S49" s="312"/>
      <c r="T49" s="322"/>
      <c r="V49" s="323"/>
    </row>
    <row r="50" spans="1:22" x14ac:dyDescent="0.2">
      <c r="A50" s="297" t="s">
        <v>208</v>
      </c>
      <c r="D50" s="308">
        <f>IF($C$17&lt;1,0,$C$17)</f>
        <v>0</v>
      </c>
      <c r="E50" s="309" t="s">
        <v>41</v>
      </c>
      <c r="F50" s="303" t="s">
        <v>8</v>
      </c>
      <c r="G50" s="311"/>
      <c r="H50" s="311"/>
      <c r="I50" s="343">
        <f>'Rider Rates'!B117</f>
        <v>0</v>
      </c>
      <c r="J50" s="343">
        <f>SUM(G50:I50)</f>
        <v>0</v>
      </c>
      <c r="K50" s="312" t="s">
        <v>42</v>
      </c>
      <c r="L50" s="225"/>
      <c r="M50" s="225"/>
      <c r="N50" s="225">
        <f>D50*J50</f>
        <v>0</v>
      </c>
      <c r="O50" s="225">
        <f>SUM(L50:N50)</f>
        <v>0</v>
      </c>
      <c r="P50" s="306">
        <f>'Rider Rates'!D117</f>
        <v>45657</v>
      </c>
      <c r="Q50" s="310"/>
      <c r="R50" s="327"/>
      <c r="S50" s="312"/>
      <c r="T50" s="322"/>
      <c r="V50" s="323"/>
    </row>
    <row r="51" spans="1:22" x14ac:dyDescent="0.2">
      <c r="A51" s="279" t="s">
        <v>230</v>
      </c>
      <c r="D51" s="308"/>
      <c r="E51" s="309" t="s">
        <v>115</v>
      </c>
      <c r="F51" s="310" t="s">
        <v>8</v>
      </c>
      <c r="G51" s="344"/>
      <c r="H51" s="344"/>
      <c r="I51" s="344">
        <f>'Rider Rates'!$B$125</f>
        <v>0</v>
      </c>
      <c r="J51" s="344">
        <f>SUM(G51:I51)</f>
        <v>0</v>
      </c>
      <c r="K51" s="312"/>
      <c r="L51" s="345"/>
      <c r="M51" s="345"/>
      <c r="N51" s="345">
        <f>J51</f>
        <v>0</v>
      </c>
      <c r="O51" s="345">
        <f>SUM(L51:N51)</f>
        <v>0</v>
      </c>
      <c r="P51" s="346">
        <f>'Rider Rates'!$E$125</f>
        <v>45883</v>
      </c>
      <c r="Q51" s="310"/>
      <c r="R51" s="327"/>
      <c r="S51" s="312"/>
      <c r="T51" s="322"/>
      <c r="V51" s="323"/>
    </row>
    <row r="52" spans="1:22" x14ac:dyDescent="0.2">
      <c r="A52" s="279" t="s">
        <v>242</v>
      </c>
      <c r="D52" s="308">
        <f>C17</f>
        <v>0</v>
      </c>
      <c r="E52" s="309" t="s">
        <v>41</v>
      </c>
      <c r="F52" s="303" t="s">
        <v>8</v>
      </c>
      <c r="G52" s="330"/>
      <c r="H52" s="330"/>
      <c r="I52" s="330">
        <f>'Rider Rates'!$B$130</f>
        <v>0</v>
      </c>
      <c r="J52" s="335">
        <f>SUM(G52:I52)</f>
        <v>0</v>
      </c>
      <c r="K52" s="312" t="s">
        <v>42</v>
      </c>
      <c r="L52" s="225"/>
      <c r="M52" s="225"/>
      <c r="N52" s="225">
        <f>D52*J52</f>
        <v>0</v>
      </c>
      <c r="O52" s="225">
        <f>SUM(L52:N52)</f>
        <v>0</v>
      </c>
      <c r="P52" s="306">
        <f>'Rider Rates'!D130</f>
        <v>44531</v>
      </c>
      <c r="Q52" s="310"/>
      <c r="R52" s="327"/>
      <c r="S52" s="312"/>
      <c r="T52" s="322"/>
      <c r="V52" s="323"/>
    </row>
    <row r="53" spans="1:22" x14ac:dyDescent="0.2">
      <c r="A53" s="279" t="s">
        <v>241</v>
      </c>
      <c r="D53" s="308"/>
      <c r="E53" s="309" t="s">
        <v>115</v>
      </c>
      <c r="F53" s="310" t="s">
        <v>8</v>
      </c>
      <c r="G53" s="344"/>
      <c r="H53" s="344"/>
      <c r="I53" s="344">
        <f>'Rider Rates'!$B$137</f>
        <v>0</v>
      </c>
      <c r="J53" s="344">
        <f>SUM(G53:I53)</f>
        <v>0</v>
      </c>
      <c r="K53" s="312"/>
      <c r="L53" s="345"/>
      <c r="M53" s="345"/>
      <c r="N53" s="345">
        <f>J53</f>
        <v>0</v>
      </c>
      <c r="O53" s="345">
        <f>SUM(L53:N53)</f>
        <v>0</v>
      </c>
      <c r="P53" s="346">
        <f>'Rider Rates'!$D$133</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SUM(L28:L54)</f>
        <v>0</v>
      </c>
      <c r="M55" s="351">
        <f t="shared" ref="M55:O55" si="5">SUM(M28:M54)</f>
        <v>0</v>
      </c>
      <c r="N55" s="351">
        <f t="shared" si="5"/>
        <v>6.37</v>
      </c>
      <c r="O55" s="351">
        <f t="shared" si="5"/>
        <v>6.37</v>
      </c>
      <c r="P55" s="352"/>
      <c r="Q55" s="310"/>
      <c r="R55" s="315"/>
      <c r="S55" s="315"/>
      <c r="T55" s="353"/>
    </row>
    <row r="56" spans="1:22" x14ac:dyDescent="0.2">
      <c r="D56" s="308"/>
      <c r="E56" s="309"/>
      <c r="F56" s="310"/>
      <c r="G56" s="310"/>
      <c r="H56" s="310"/>
      <c r="I56" s="310"/>
      <c r="J56" s="327"/>
      <c r="K56" s="312"/>
      <c r="L56" s="310"/>
      <c r="M56" s="310"/>
      <c r="N56" s="310"/>
      <c r="O56" s="310"/>
      <c r="P56" s="354"/>
      <c r="Q56" s="310"/>
      <c r="R56" s="315"/>
      <c r="S56" s="315"/>
      <c r="T56" s="353"/>
    </row>
    <row r="57" spans="1:22" x14ac:dyDescent="0.2">
      <c r="A57" s="324"/>
      <c r="B57" s="324"/>
      <c r="C57" s="324"/>
      <c r="D57" s="324"/>
      <c r="E57" s="324"/>
      <c r="F57" s="324"/>
      <c r="G57" s="324"/>
      <c r="H57" s="324"/>
      <c r="I57" s="324"/>
      <c r="J57" s="324"/>
      <c r="K57" s="324"/>
      <c r="L57" s="355">
        <f>L24+L55</f>
        <v>0</v>
      </c>
      <c r="M57" s="355">
        <f>M24+M55</f>
        <v>0</v>
      </c>
      <c r="N57" s="355">
        <f>N24+N55</f>
        <v>16.37</v>
      </c>
      <c r="O57" s="356">
        <f>O24+O55</f>
        <v>16.37</v>
      </c>
      <c r="P57" s="356"/>
      <c r="Q57" s="310"/>
      <c r="R57" s="315"/>
      <c r="S57" s="315"/>
      <c r="T57" s="353"/>
    </row>
    <row r="58" spans="1:22" x14ac:dyDescent="0.2">
      <c r="A58" s="357"/>
      <c r="Q58" s="315"/>
    </row>
    <row r="59" spans="1:22" x14ac:dyDescent="0.2">
      <c r="A59" s="358"/>
      <c r="Q59" s="315"/>
    </row>
    <row r="60" spans="1:22" x14ac:dyDescent="0.2">
      <c r="A60" s="315" t="s">
        <v>93</v>
      </c>
      <c r="D60" s="315"/>
      <c r="O60" s="322">
        <f>IF($C$17&lt;=0,MIN(O21,O57), O21)</f>
        <v>10</v>
      </c>
      <c r="Q60" s="315"/>
    </row>
    <row r="61" spans="1:22" x14ac:dyDescent="0.2">
      <c r="A61" s="358"/>
      <c r="B61" s="315"/>
      <c r="C61" s="315"/>
      <c r="D61" s="315"/>
      <c r="E61" s="315"/>
      <c r="F61" s="315"/>
      <c r="G61" s="315"/>
      <c r="H61" s="315"/>
    </row>
    <row r="62" spans="1:22" x14ac:dyDescent="0.2">
      <c r="A62" s="292" t="s">
        <v>117</v>
      </c>
      <c r="O62" s="359">
        <f>IF($C$17&lt;0,O57,IF(O57&gt;O60,O57,O60))</f>
        <v>16.37</v>
      </c>
      <c r="P62" s="310"/>
    </row>
    <row r="63" spans="1:22" x14ac:dyDescent="0.2">
      <c r="A63" s="358"/>
    </row>
    <row r="64" spans="1:22" x14ac:dyDescent="0.2">
      <c r="A64" s="358"/>
      <c r="I64" s="315" t="s">
        <v>121</v>
      </c>
      <c r="J64" s="315"/>
      <c r="K64" s="315"/>
      <c r="L64" s="360"/>
      <c r="M64" s="360"/>
      <c r="N64" s="360"/>
      <c r="O64" s="360">
        <f>ROUND(IF($C$17&lt;1,0,O57/($C$17*100)*10000),2)</f>
        <v>0</v>
      </c>
      <c r="P64" s="315" t="s">
        <v>87</v>
      </c>
    </row>
    <row r="65" spans="1:16" x14ac:dyDescent="0.2">
      <c r="A65" s="358"/>
      <c r="I65" s="361" t="s">
        <v>190</v>
      </c>
      <c r="O65" s="362">
        <f>ROUND(IF($C$17&lt;1,0,(L57)/($C$17*100)*10000),2)</f>
        <v>0</v>
      </c>
      <c r="P65" s="285" t="s">
        <v>87</v>
      </c>
    </row>
    <row r="66" spans="1:16" x14ac:dyDescent="0.2">
      <c r="A66" s="358"/>
    </row>
    <row r="67" spans="1:16" x14ac:dyDescent="0.2">
      <c r="A67" s="358"/>
    </row>
    <row r="68" spans="1:16" x14ac:dyDescent="0.2">
      <c r="A68" s="358"/>
    </row>
    <row r="69" spans="1:16" x14ac:dyDescent="0.2">
      <c r="A69" s="358"/>
    </row>
    <row r="70" spans="1:16" x14ac:dyDescent="0.2">
      <c r="A70" s="358"/>
    </row>
    <row r="71" spans="1:16" x14ac:dyDescent="0.2">
      <c r="A71" s="358"/>
    </row>
    <row r="72" spans="1:16" x14ac:dyDescent="0.2">
      <c r="A72" s="358"/>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5" t="s">
        <v>120</v>
      </c>
      <c r="B1" s="425"/>
      <c r="C1" s="425"/>
      <c r="D1" s="425"/>
      <c r="E1" s="425"/>
      <c r="F1" s="425"/>
      <c r="G1" s="425"/>
      <c r="H1" s="425"/>
      <c r="I1" s="425"/>
      <c r="J1" s="425"/>
      <c r="K1" s="425"/>
      <c r="L1" s="425"/>
      <c r="M1" s="425"/>
      <c r="N1" s="425"/>
      <c r="O1" s="425"/>
      <c r="P1" s="425"/>
    </row>
    <row r="2" spans="1:30" ht="20.25" x14ac:dyDescent="0.3">
      <c r="A2" s="410" t="s">
        <v>277</v>
      </c>
      <c r="B2" s="410"/>
      <c r="C2" s="410"/>
      <c r="D2" s="410"/>
      <c r="E2" s="410"/>
      <c r="F2" s="410"/>
      <c r="G2" s="410"/>
      <c r="H2" s="410"/>
      <c r="I2" s="410"/>
      <c r="J2" s="410"/>
      <c r="K2" s="410"/>
      <c r="L2" s="410"/>
      <c r="M2" s="410"/>
      <c r="N2" s="410"/>
      <c r="O2" s="410"/>
      <c r="P2" s="410"/>
    </row>
    <row r="3" spans="1:30" ht="18" x14ac:dyDescent="0.25">
      <c r="A3" s="426" t="s">
        <v>84</v>
      </c>
      <c r="B3" s="426"/>
      <c r="C3" s="426"/>
      <c r="D3" s="426"/>
      <c r="E3" s="426"/>
      <c r="F3" s="426"/>
      <c r="G3" s="426"/>
      <c r="H3" s="426"/>
      <c r="I3" s="426"/>
      <c r="J3" s="426"/>
      <c r="K3" s="426"/>
      <c r="L3" s="426"/>
      <c r="M3" s="426"/>
      <c r="N3" s="426"/>
      <c r="O3" s="426"/>
      <c r="P3" s="426"/>
    </row>
    <row r="4" spans="1:30" ht="15.75" x14ac:dyDescent="0.25">
      <c r="A4" s="411" t="str">
        <f>'Customer Info'!B11</f>
        <v>Breakdown of Charges Based on Entered Information</v>
      </c>
      <c r="B4" s="411"/>
      <c r="C4" s="411"/>
      <c r="D4" s="411"/>
      <c r="E4" s="411"/>
      <c r="F4" s="411"/>
      <c r="G4" s="411"/>
      <c r="H4" s="411"/>
      <c r="I4" s="411"/>
      <c r="J4" s="411"/>
      <c r="K4" s="411"/>
      <c r="L4" s="411"/>
      <c r="M4" s="411"/>
      <c r="N4" s="411"/>
      <c r="O4" s="411"/>
      <c r="P4" s="411"/>
    </row>
    <row r="5" spans="1:30" ht="15" x14ac:dyDescent="0.2">
      <c r="A5" s="68"/>
      <c r="B5" s="68"/>
      <c r="C5" s="68"/>
      <c r="D5" s="68"/>
      <c r="E5" s="68"/>
      <c r="F5" s="68"/>
      <c r="G5" s="68"/>
      <c r="H5" s="68"/>
      <c r="I5" s="68"/>
      <c r="J5" s="68"/>
      <c r="K5" s="68"/>
    </row>
    <row r="6" spans="1:30" x14ac:dyDescent="0.2">
      <c r="A6" s="69">
        <f ca="1">TODAY()</f>
        <v>46051</v>
      </c>
      <c r="B6" s="187" t="s">
        <v>249</v>
      </c>
      <c r="C6" s="69"/>
      <c r="D6" s="69"/>
      <c r="E6" s="69"/>
      <c r="F6" s="69"/>
      <c r="G6" s="69"/>
      <c r="H6" s="69"/>
      <c r="I6" s="69"/>
    </row>
    <row r="7" spans="1:30" ht="26.25" x14ac:dyDescent="0.4">
      <c r="A7" s="436"/>
      <c r="B7" s="436"/>
      <c r="C7" s="436"/>
      <c r="D7" s="436"/>
      <c r="E7" s="436"/>
      <c r="F7" s="436"/>
      <c r="G7" s="436"/>
      <c r="H7" s="436"/>
      <c r="I7" s="436"/>
      <c r="J7" s="436"/>
      <c r="K7" s="436"/>
      <c r="L7" s="436"/>
      <c r="M7" s="436"/>
      <c r="N7" s="436"/>
      <c r="O7" s="436"/>
      <c r="P7" s="436"/>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2</v>
      </c>
      <c r="C11" s="171" t="str">
        <f>LOOKUP(B11,R11:AD11,R12:AD12)</f>
        <v>February</v>
      </c>
      <c r="D11" s="116">
        <f>'Customer Info'!C9</f>
        <v>2026</v>
      </c>
      <c r="S11">
        <v>1</v>
      </c>
      <c r="T11">
        <v>2</v>
      </c>
      <c r="U11">
        <v>3</v>
      </c>
      <c r="V11">
        <v>4</v>
      </c>
      <c r="W11">
        <v>5</v>
      </c>
      <c r="X11">
        <v>6</v>
      </c>
      <c r="Y11">
        <v>7</v>
      </c>
      <c r="Z11">
        <v>8</v>
      </c>
      <c r="AA11">
        <v>9</v>
      </c>
      <c r="AB11">
        <v>10</v>
      </c>
      <c r="AC11">
        <v>11</v>
      </c>
      <c r="AD11">
        <v>12</v>
      </c>
    </row>
    <row r="12" spans="1:30" x14ac:dyDescent="0.2">
      <c r="A12" s="424"/>
      <c r="B12" s="424"/>
      <c r="C12" s="424"/>
      <c r="D12" s="424"/>
      <c r="E12" s="424"/>
      <c r="F12" s="424"/>
      <c r="G12" s="424"/>
      <c r="H12" s="424"/>
      <c r="I12" s="424"/>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0" t="s">
        <v>68</v>
      </c>
      <c r="H19" s="421"/>
      <c r="I19" s="421"/>
      <c r="J19" s="422"/>
      <c r="K19" s="20"/>
      <c r="L19" s="423" t="s">
        <v>69</v>
      </c>
      <c r="M19" s="423"/>
      <c r="N19" s="423"/>
      <c r="O19" s="423"/>
    </row>
    <row r="20" spans="1:221" x14ac:dyDescent="0.2">
      <c r="G20" s="8" t="s">
        <v>65</v>
      </c>
      <c r="H20" s="8" t="s">
        <v>66</v>
      </c>
      <c r="I20" s="8" t="s">
        <v>67</v>
      </c>
      <c r="J20" s="5" t="s">
        <v>34</v>
      </c>
      <c r="L20" s="115" t="s">
        <v>65</v>
      </c>
      <c r="M20" s="115" t="s">
        <v>66</v>
      </c>
      <c r="N20" s="115" t="s">
        <v>67</v>
      </c>
      <c r="O20" s="115" t="s">
        <v>34</v>
      </c>
      <c r="P20" s="39" t="s">
        <v>57</v>
      </c>
    </row>
    <row r="21" spans="1:221" x14ac:dyDescent="0.2">
      <c r="A21" s="248"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45627</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6" si="0">SUM(G27:I27)</f>
        <v>5.5215000000000004E-3</v>
      </c>
      <c r="K27" s="94" t="s">
        <v>42</v>
      </c>
      <c r="L27" s="95"/>
      <c r="M27" s="95"/>
      <c r="N27" s="95">
        <f t="shared" ref="N27:N32" si="1">ROUND(D27*I27,2)</f>
        <v>0</v>
      </c>
      <c r="O27" s="95">
        <f t="shared" ref="O27:O47"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ref="O32:O38" si="3">SUM(L32:N32)</f>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3"/>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'Customer Info'!$B$21+'Customer Info'!$B$22-'Customer Info'!$B$23</f>
        <v>0</v>
      </c>
      <c r="E34" s="91" t="s">
        <v>41</v>
      </c>
      <c r="F34" s="92" t="s">
        <v>8</v>
      </c>
      <c r="G34" s="93">
        <f>'Rider Rates'!B22</f>
        <v>7.6880000000000004E-2</v>
      </c>
      <c r="H34" s="93"/>
      <c r="I34" s="93"/>
      <c r="J34" s="213">
        <f>SUM(G34:H34)</f>
        <v>7.6880000000000004E-2</v>
      </c>
      <c r="K34" s="94" t="s">
        <v>42</v>
      </c>
      <c r="L34" s="95">
        <f>ROUND(D34*G34,2)</f>
        <v>0</v>
      </c>
      <c r="M34" s="95"/>
      <c r="N34" s="95"/>
      <c r="O34" s="95">
        <f t="shared" si="3"/>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161</v>
      </c>
      <c r="B35" s="70"/>
      <c r="C35" s="70"/>
      <c r="D35" s="90">
        <f>'Customer Info'!$B$21+'Customer Info'!$B$22-'Customer Info'!$B$23</f>
        <v>0</v>
      </c>
      <c r="E35" s="91" t="s">
        <v>41</v>
      </c>
      <c r="F35" s="92" t="s">
        <v>8</v>
      </c>
      <c r="G35" s="93">
        <f>'Rider Rates'!$B$33</f>
        <v>1.8849999999999999E-2</v>
      </c>
      <c r="H35" s="93"/>
      <c r="I35" s="93"/>
      <c r="J35" s="213">
        <f>SUM(G35:H35)</f>
        <v>1.8849999999999999E-2</v>
      </c>
      <c r="K35" s="94" t="s">
        <v>42</v>
      </c>
      <c r="L35" s="95">
        <f>ROUND(D35*G35,2)</f>
        <v>0</v>
      </c>
      <c r="M35" s="95"/>
      <c r="N35" s="95"/>
      <c r="O35" s="95">
        <f t="shared" si="3"/>
        <v>0</v>
      </c>
      <c r="P35" s="220">
        <f>'Rider Rates'!$D$33</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Info'!$B$22-'Customer Info'!$B$23</f>
        <v>0</v>
      </c>
      <c r="E36" s="91" t="s">
        <v>41</v>
      </c>
      <c r="F36" s="92" t="s">
        <v>8</v>
      </c>
      <c r="G36" s="93">
        <f>'Rider Rates'!$B$45</f>
        <v>2.7588999999999999E-3</v>
      </c>
      <c r="H36" s="93"/>
      <c r="I36" s="93"/>
      <c r="J36" s="213">
        <f>SUM(G36:H36)</f>
        <v>2.7588999999999999E-3</v>
      </c>
      <c r="K36" s="94" t="s">
        <v>42</v>
      </c>
      <c r="L36" s="95">
        <f>ROUND(D36*G36,2)</f>
        <v>0</v>
      </c>
      <c r="M36" s="95"/>
      <c r="N36" s="95"/>
      <c r="O36" s="95">
        <f t="shared" si="3"/>
        <v>0</v>
      </c>
      <c r="P36" s="220">
        <f>'Rider Rates'!$D$45</f>
        <v>46022</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f>IF($C$15&lt;0,0,IF($C$15&gt;833000,833000,$C$15))</f>
        <v>0</v>
      </c>
      <c r="E37" s="91" t="s">
        <v>41</v>
      </c>
      <c r="F37" s="92" t="s">
        <v>8</v>
      </c>
      <c r="G37" s="93"/>
      <c r="H37" s="93"/>
      <c r="I37" s="93">
        <f>'Rider Rates'!D49</f>
        <v>0</v>
      </c>
      <c r="J37" s="93">
        <f>SUM(G37:I37)</f>
        <v>0</v>
      </c>
      <c r="K37" s="94" t="s">
        <v>42</v>
      </c>
      <c r="L37" s="95"/>
      <c r="M37" s="95"/>
      <c r="N37" s="95">
        <f>D37*J37</f>
        <v>0</v>
      </c>
      <c r="O37" s="95">
        <f t="shared" si="3"/>
        <v>0</v>
      </c>
      <c r="P37" s="220">
        <f>'Rider Rates'!E49</f>
        <v>45883</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Rates'!$B$56</f>
        <v>2.1561400000000001E-2</v>
      </c>
      <c r="I38" s="93"/>
      <c r="J38" s="93">
        <f>SUM(G38:I38)</f>
        <v>2.1561400000000001E-2</v>
      </c>
      <c r="K38" s="94" t="s">
        <v>42</v>
      </c>
      <c r="L38" s="95"/>
      <c r="M38" s="95">
        <f>ROUND(D38*H38,2)</f>
        <v>0</v>
      </c>
      <c r="N38" s="182"/>
      <c r="O38" s="95">
        <f t="shared" si="3"/>
        <v>0</v>
      </c>
      <c r="P38" s="220">
        <f>'Rider Rates'!$D$56</f>
        <v>45929</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Info'!C34=TRUE,0,IF($C$15&lt;0,0,$C$15))</f>
        <v>0</v>
      </c>
      <c r="E39" s="91" t="s">
        <v>41</v>
      </c>
      <c r="F39" s="92" t="s">
        <v>8</v>
      </c>
      <c r="G39" s="93"/>
      <c r="H39" s="93"/>
      <c r="I39" s="93">
        <f>'Rider Rates'!$B$70+'Rider Rates'!$C$70</f>
        <v>0</v>
      </c>
      <c r="J39" s="93">
        <f t="shared" si="0"/>
        <v>0</v>
      </c>
      <c r="K39" s="94" t="s">
        <v>42</v>
      </c>
      <c r="L39" s="95"/>
      <c r="M39" s="95"/>
      <c r="N39" s="95">
        <f>ROUND($D$39*'Rider Rates'!$B$70,2)+ROUND($D$39*'Rider Rates'!$C$70,2)</f>
        <v>0</v>
      </c>
      <c r="O39" s="95">
        <f t="shared" si="2"/>
        <v>0</v>
      </c>
      <c r="P39" s="220">
        <f>'Rider Rates'!$D$70</f>
        <v>45444</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c r="E40" s="91" t="s">
        <v>115</v>
      </c>
      <c r="F40" s="92"/>
      <c r="G40" s="93"/>
      <c r="H40" s="93"/>
      <c r="I40" s="173">
        <f>'Rider Rates'!$B$77</f>
        <v>0</v>
      </c>
      <c r="J40" s="173">
        <f>IF('Customer Info'!C34=TRUE,0,SUM(G40:I40))</f>
        <v>0</v>
      </c>
      <c r="K40" s="94"/>
      <c r="L40" s="95"/>
      <c r="M40" s="95"/>
      <c r="N40" s="95">
        <f>J40</f>
        <v>0</v>
      </c>
      <c r="O40" s="95">
        <f>SUM(L40:N40)</f>
        <v>0</v>
      </c>
      <c r="P40" s="220">
        <f>'Rider Rates'!$D$77</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$N$23</f>
        <v>9.4</v>
      </c>
      <c r="E41" s="91" t="s">
        <v>122</v>
      </c>
      <c r="F41" s="92" t="s">
        <v>8</v>
      </c>
      <c r="G41" s="99"/>
      <c r="H41" s="5"/>
      <c r="I41" s="106">
        <f>'Rider Rates'!$B$85</f>
        <v>3.5344300000000002E-2</v>
      </c>
      <c r="J41" s="106">
        <f t="shared" si="0"/>
        <v>3.5344300000000002E-2</v>
      </c>
      <c r="K41" s="94"/>
      <c r="L41" s="95"/>
      <c r="M41" s="95"/>
      <c r="N41" s="95">
        <f>ROUND(D41*I41,2)</f>
        <v>0.33</v>
      </c>
      <c r="O41" s="95">
        <f t="shared" si="2"/>
        <v>0.33</v>
      </c>
      <c r="P41" s="220">
        <f>'Rider Rates'!$D$85</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$N$23</f>
        <v>9.4</v>
      </c>
      <c r="E42" s="91" t="s">
        <v>122</v>
      </c>
      <c r="F42" s="92" t="s">
        <v>8</v>
      </c>
      <c r="G42" s="100"/>
      <c r="H42" s="101"/>
      <c r="I42" s="106">
        <f>'Rider Rates'!$B$87</f>
        <v>7.8822199999999995E-2</v>
      </c>
      <c r="J42" s="106">
        <f t="shared" si="0"/>
        <v>7.8822199999999995E-2</v>
      </c>
      <c r="K42" s="94"/>
      <c r="L42" s="95"/>
      <c r="M42" s="95"/>
      <c r="N42" s="95">
        <f>ROUND(D42*I42,2)</f>
        <v>0.74</v>
      </c>
      <c r="O42" s="95">
        <f t="shared" si="2"/>
        <v>0.74</v>
      </c>
      <c r="P42" s="220">
        <f>'Rider Rates'!$D$87</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Rates'!$B$91</f>
        <v>21.84</v>
      </c>
      <c r="J43" s="173">
        <f t="shared" si="0"/>
        <v>21.84</v>
      </c>
      <c r="K43" s="94"/>
      <c r="L43" s="95"/>
      <c r="M43" s="95"/>
      <c r="N43" s="95">
        <f>I43</f>
        <v>21.84</v>
      </c>
      <c r="O43" s="95">
        <f t="shared" si="2"/>
        <v>21.84</v>
      </c>
      <c r="P43" s="220">
        <f>'Rider Rates'!$D$91</f>
        <v>46022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Rates'!$B$95</f>
        <v>0</v>
      </c>
      <c r="K44" s="94" t="s">
        <v>42</v>
      </c>
      <c r="L44" s="95"/>
      <c r="M44" s="95"/>
      <c r="N44" s="95"/>
      <c r="O44" s="95">
        <f>ROUND($D44*('Rider Rates'!B$95),2)</f>
        <v>0</v>
      </c>
      <c r="P44" s="220">
        <f>'Rider Rates'!$D$95</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$N$23</f>
        <v>9.4</v>
      </c>
      <c r="E45" s="91" t="s">
        <v>122</v>
      </c>
      <c r="F45" s="92" t="s">
        <v>8</v>
      </c>
      <c r="G45" s="100"/>
      <c r="H45" s="101"/>
      <c r="I45" s="106">
        <f>'Rider Rates'!$B$105</f>
        <v>0.24079249999999999</v>
      </c>
      <c r="J45" s="106">
        <f t="shared" si="0"/>
        <v>0.24079249999999999</v>
      </c>
      <c r="K45" s="94"/>
      <c r="L45" s="95"/>
      <c r="M45" s="95"/>
      <c r="N45" s="95">
        <f>ROUND(D45*I45,2)</f>
        <v>2.2599999999999998</v>
      </c>
      <c r="O45" s="95">
        <f t="shared" si="2"/>
        <v>2.2599999999999998</v>
      </c>
      <c r="P45" s="220">
        <f>'Rider Rates'!$D$105</f>
        <v>45987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Rates'!B122</f>
        <v>0.99</v>
      </c>
      <c r="J46" s="173">
        <f t="shared" si="0"/>
        <v>0.99</v>
      </c>
      <c r="K46" s="94"/>
      <c r="L46" s="95"/>
      <c r="M46" s="95"/>
      <c r="N46" s="235">
        <f>I46</f>
        <v>0.99</v>
      </c>
      <c r="O46" s="95">
        <f t="shared" si="2"/>
        <v>0.99</v>
      </c>
      <c r="P46" s="220">
        <f>'Rider Rates'!D122</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Info'!$B$22-'Customer Info'!$B$23</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Rates'!B118</f>
        <v>0</v>
      </c>
      <c r="J48" s="226">
        <f>SUM(G48:I48)</f>
        <v>0</v>
      </c>
      <c r="K48" s="94" t="s">
        <v>42</v>
      </c>
      <c r="L48" s="95"/>
      <c r="M48" s="95"/>
      <c r="N48" s="95">
        <f>D48*J48</f>
        <v>0</v>
      </c>
      <c r="O48" s="95">
        <f>SUM(L48:N48)</f>
        <v>0</v>
      </c>
      <c r="P48" s="220">
        <f>'Rider Rates'!D118</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233</v>
      </c>
      <c r="B49" s="70"/>
      <c r="C49" s="70"/>
      <c r="D49" s="90">
        <f>IF(C15&lt;0,0,IF(C15&gt;833000,833000,C15))</f>
        <v>0</v>
      </c>
      <c r="E49" s="91" t="s">
        <v>41</v>
      </c>
      <c r="F49" s="92" t="s">
        <v>8</v>
      </c>
      <c r="G49" s="240"/>
      <c r="H49" s="240"/>
      <c r="I49" s="240">
        <f>'Rider Rates'!B126</f>
        <v>0</v>
      </c>
      <c r="J49" s="240">
        <f>SUM(G49:I49)</f>
        <v>0</v>
      </c>
      <c r="K49" s="94" t="s">
        <v>42</v>
      </c>
      <c r="L49" s="241"/>
      <c r="M49" s="241"/>
      <c r="N49" s="241">
        <f>IF(D49*J49&gt;'Rider Rates'!$C$126,'Rider Rates'!$C$126,D49*J49)</f>
        <v>0</v>
      </c>
      <c r="O49" s="241">
        <f>SUM(L49:N49)</f>
        <v>0</v>
      </c>
      <c r="P49" s="239">
        <f>'Rider Rates'!$E$126</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234</v>
      </c>
      <c r="B50" s="70"/>
      <c r="C50" s="70"/>
      <c r="D50" s="1">
        <f>IF(C15&gt;833000,C15-833000,0)</f>
        <v>0</v>
      </c>
      <c r="E50" s="91" t="s">
        <v>41</v>
      </c>
      <c r="F50" s="92" t="s">
        <v>8</v>
      </c>
      <c r="G50" s="240"/>
      <c r="H50" s="240"/>
      <c r="I50" s="240">
        <f>'Rider Rates'!B127</f>
        <v>0</v>
      </c>
      <c r="J50" s="240">
        <f>SUM(G50:I50)</f>
        <v>0</v>
      </c>
      <c r="K50" s="94" t="s">
        <v>42</v>
      </c>
      <c r="L50" s="241"/>
      <c r="M50" s="241"/>
      <c r="N50" s="241">
        <f>D50*J50</f>
        <v>0</v>
      </c>
      <c r="O50" s="241">
        <f>SUM(L50:N50)</f>
        <v>0</v>
      </c>
      <c r="P50" s="239">
        <f>'Rider Rates'!$E$127</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242</v>
      </c>
      <c r="B51" s="70"/>
      <c r="C51" s="70"/>
      <c r="D51" s="90">
        <f>C15</f>
        <v>0</v>
      </c>
      <c r="E51" s="91" t="s">
        <v>41</v>
      </c>
      <c r="F51" s="224" t="s">
        <v>8</v>
      </c>
      <c r="G51" s="93"/>
      <c r="H51" s="93"/>
      <c r="I51" s="93">
        <f>'Rider Rates'!$B$131</f>
        <v>0</v>
      </c>
      <c r="J51" s="213">
        <f>SUM(G51:I51)</f>
        <v>0</v>
      </c>
      <c r="K51" s="94" t="s">
        <v>42</v>
      </c>
      <c r="L51" s="95"/>
      <c r="M51" s="95"/>
      <c r="N51" s="95">
        <f>D51*J51</f>
        <v>0</v>
      </c>
      <c r="O51" s="95">
        <f>SUM(L51:N51)</f>
        <v>0</v>
      </c>
      <c r="P51" s="220">
        <f>'Rider Rates'!$D$131</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241</v>
      </c>
      <c r="B52" s="70"/>
      <c r="C52" s="70"/>
      <c r="D52" s="90"/>
      <c r="E52" s="91" t="s">
        <v>115</v>
      </c>
      <c r="F52" s="92" t="s">
        <v>8</v>
      </c>
      <c r="G52" s="238"/>
      <c r="H52" s="238"/>
      <c r="I52" s="238">
        <f>'Rider Rates'!$B$138</f>
        <v>0</v>
      </c>
      <c r="J52" s="238">
        <f>SUM(G52:I52)</f>
        <v>0</v>
      </c>
      <c r="K52" s="94"/>
      <c r="L52" s="186"/>
      <c r="M52" s="186"/>
      <c r="N52" s="186">
        <f>J52</f>
        <v>0</v>
      </c>
      <c r="O52" s="186">
        <f>SUM(L52:N52)</f>
        <v>0</v>
      </c>
      <c r="P52" s="239">
        <f>'Rider Rates'!D138</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243</v>
      </c>
      <c r="B53" s="70"/>
      <c r="C53" s="70"/>
      <c r="D53" s="90"/>
      <c r="E53" s="91"/>
      <c r="F53" s="92"/>
      <c r="G53" s="238"/>
      <c r="H53" s="238"/>
      <c r="I53" s="238"/>
      <c r="J53" s="238"/>
      <c r="K53" s="94"/>
      <c r="L53" s="186"/>
      <c r="M53" s="186"/>
      <c r="N53" s="186"/>
      <c r="O53" s="186"/>
      <c r="P53" s="239"/>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56" t="s">
        <v>71</v>
      </c>
      <c r="B54" s="130"/>
      <c r="C54" s="130"/>
      <c r="D54" s="157"/>
      <c r="E54" s="158"/>
      <c r="F54" s="159"/>
      <c r="G54" s="159"/>
      <c r="H54" s="159"/>
      <c r="I54" s="159"/>
      <c r="J54" s="159"/>
      <c r="K54" s="160"/>
      <c r="L54" s="147">
        <f>SUM(L27:L53)</f>
        <v>0</v>
      </c>
      <c r="M54" s="147">
        <f t="shared" ref="M54:O54" si="4">SUM(M27:M53)</f>
        <v>0</v>
      </c>
      <c r="N54" s="147">
        <f t="shared" si="4"/>
        <v>26.16</v>
      </c>
      <c r="O54" s="147">
        <f t="shared" si="4"/>
        <v>26.16</v>
      </c>
      <c r="P54" s="161"/>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90"/>
      <c r="E55" s="91"/>
      <c r="F55" s="92"/>
      <c r="G55" s="92"/>
      <c r="H55" s="92"/>
      <c r="I55" s="92"/>
      <c r="J55" s="96"/>
      <c r="K55" s="94"/>
      <c r="L55" s="92"/>
      <c r="M55" s="92"/>
      <c r="N55" s="92"/>
      <c r="O55" s="92"/>
      <c r="P55" s="142"/>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62" t="s">
        <v>94</v>
      </c>
      <c r="B56" s="148"/>
      <c r="C56" s="148"/>
      <c r="D56" s="148"/>
      <c r="E56" s="148"/>
      <c r="F56" s="148"/>
      <c r="G56" s="148"/>
      <c r="H56" s="148"/>
      <c r="I56" s="148"/>
      <c r="J56" s="148"/>
      <c r="K56" s="148"/>
      <c r="L56" s="163">
        <f>L23+L54</f>
        <v>0</v>
      </c>
      <c r="M56" s="163">
        <f>M23+M54</f>
        <v>0</v>
      </c>
      <c r="N56" s="163">
        <f>N23+N54</f>
        <v>35.56</v>
      </c>
      <c r="O56" s="164">
        <f>O23+O54</f>
        <v>35.56</v>
      </c>
      <c r="P56" s="164"/>
      <c r="Q56" s="92"/>
      <c r="R56" s="165"/>
      <c r="S56" s="94"/>
      <c r="T56" s="97"/>
      <c r="U56" s="70"/>
      <c r="V56" s="94"/>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93</v>
      </c>
      <c r="B59" s="70"/>
      <c r="C59" s="70"/>
      <c r="D59" s="70"/>
      <c r="E59" s="70"/>
      <c r="F59" s="70"/>
      <c r="G59" s="70"/>
      <c r="H59" s="70"/>
      <c r="I59" s="70"/>
      <c r="J59" s="70"/>
      <c r="K59" s="70"/>
      <c r="L59" s="70"/>
      <c r="M59" s="70"/>
      <c r="N59" s="70"/>
      <c r="O59" s="97">
        <f>O21+O54</f>
        <v>35.56</v>
      </c>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15</v>
      </c>
      <c r="B60" s="144"/>
      <c r="C60" s="144"/>
      <c r="D60" s="144"/>
      <c r="E60" s="144"/>
      <c r="F60" s="144"/>
      <c r="G60" s="144"/>
      <c r="H60" s="14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t="s">
        <v>117</v>
      </c>
      <c r="B61" s="70"/>
      <c r="C61" s="70"/>
      <c r="D61" s="70"/>
      <c r="E61" s="70"/>
      <c r="F61" s="70"/>
      <c r="G61" s="70"/>
      <c r="H61" s="70"/>
      <c r="I61" s="70"/>
      <c r="J61" s="70"/>
      <c r="K61" s="70"/>
      <c r="L61" s="70"/>
      <c r="M61" s="70"/>
      <c r="N61" s="70"/>
      <c r="O61" s="167">
        <f>IF($D$17&lt;0,O56,IF(O56&gt;O59,O56,O59))</f>
        <v>35.56</v>
      </c>
      <c r="P61" s="92"/>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ht="15" customHeight="1" x14ac:dyDescent="0.2">
      <c r="A62" s="130"/>
      <c r="B62" s="70"/>
      <c r="C62" s="70"/>
      <c r="D62" s="70"/>
      <c r="E62" s="70"/>
      <c r="F62" s="70"/>
      <c r="G62" s="70"/>
      <c r="H62" s="70"/>
      <c r="I62" s="70"/>
      <c r="J62" s="70"/>
      <c r="K62" s="70"/>
      <c r="L62" s="70"/>
      <c r="M62" s="70"/>
      <c r="N62" s="70"/>
      <c r="O62" s="167"/>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130"/>
      <c r="B63" s="144"/>
      <c r="C63" s="144"/>
      <c r="D63" s="144"/>
      <c r="E63" s="144"/>
      <c r="F63" s="144"/>
      <c r="G63" s="144"/>
      <c r="H63" s="144"/>
      <c r="I63" s="144" t="s">
        <v>121</v>
      </c>
      <c r="J63" s="144"/>
      <c r="K63" s="144"/>
      <c r="L63" s="168"/>
      <c r="M63" s="168"/>
      <c r="N63" s="168"/>
      <c r="O63" s="168">
        <f>ROUND(IF($C$15&lt;1,0,O56/($C$15*100)*10000),2)</f>
        <v>0</v>
      </c>
      <c r="P63" s="33" t="s">
        <v>87</v>
      </c>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B64" s="70"/>
      <c r="C64" s="70"/>
      <c r="D64" s="70"/>
      <c r="E64" s="70"/>
      <c r="F64" s="70"/>
      <c r="G64" s="70"/>
      <c r="H64" s="169"/>
      <c r="I64" s="217" t="s">
        <v>190</v>
      </c>
      <c r="J64" s="70"/>
      <c r="K64" s="70"/>
      <c r="L64" s="70"/>
      <c r="M64" s="70"/>
      <c r="N64" s="70"/>
      <c r="O64" s="218">
        <f>ROUND(IF($C$15&lt;1,0,(L56)/($C$15*100)*10000),2)</f>
        <v>0</v>
      </c>
      <c r="P64" s="23" t="s">
        <v>87</v>
      </c>
      <c r="Q64" s="70"/>
      <c r="R64" s="70"/>
      <c r="S64" s="70"/>
      <c r="T64" s="70"/>
      <c r="U64" s="70"/>
      <c r="V64" s="70"/>
      <c r="W64" s="70"/>
      <c r="X64" s="70"/>
      <c r="Y64" s="70"/>
      <c r="Z64" s="70"/>
      <c r="AA64" s="70"/>
      <c r="AB64" s="70"/>
      <c r="AC64" s="70"/>
      <c r="AD64" s="70"/>
      <c r="AE64" s="70"/>
      <c r="AF64" s="70"/>
      <c r="AG64" s="70"/>
      <c r="AH64" s="70"/>
      <c r="AI64" s="70"/>
      <c r="AJ64" s="70"/>
      <c r="AK64" s="70"/>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D1B5F45E-9FD4-4FA6-954A-976DA0C4FF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2026-01-29T20:15:55Z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