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6.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10.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11.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12.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13.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14.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drawings/drawing15.xml" ContentType="application/vnd.openxmlformats-officedocument.drawing+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drawings/drawing16.xml" ContentType="application/vnd.openxmlformats-officedocument.drawing+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drawings/drawing17.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18.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19.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20.xml" ContentType="application/vnd.openxmlformats-officedocument.drawing+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drawings/drawing21.xml" ContentType="application/vnd.openxmlformats-officedocument.drawing+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drawings/drawing22.xml" ContentType="application/vnd.openxmlformats-officedocument.drawing+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drawings/drawing23.xml" ContentType="application/vnd.openxmlformats-officedocument.drawing+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drawings/drawing24.xml" ContentType="application/vnd.openxmlformats-officedocument.drawing+xml"/>
  <Override PartName="/xl/ctrlProps/ctrlProp534.xml" ContentType="application/vnd.ms-excel.controlproperties+xml"/>
  <Override PartName="/xl/ctrlProps/ctrlProp535.xml" ContentType="application/vnd.ms-excel.controlproperties+xml"/>
  <Override PartName="/xl/drawings/drawing25.xml" ContentType="application/vnd.openxmlformats-officedocument.drawing+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drawings/drawing26.xml" ContentType="application/vnd.openxmlformats-officedocument.drawing+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drawings/drawing27.xml" ContentType="application/vnd.openxmlformats-officedocument.drawing+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drawings/drawing28.xml" ContentType="application/vnd.openxmlformats-officedocument.drawing+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29.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drawings/drawing30.xml" ContentType="application/vnd.openxmlformats-officedocument.drawing+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drawings/drawing31.xml" ContentType="application/vnd.openxmlformats-officedocument.drawing+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drawings/drawing32.xml" ContentType="application/vnd.openxmlformats-officedocument.drawing+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drawings/drawing33.xml" ContentType="application/vnd.openxmlformats-officedocument.drawing+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drawings/drawing34.xml" ContentType="application/vnd.openxmlformats-officedocument.drawing+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drawings/drawing35.xml" ContentType="application/vnd.openxmlformats-officedocument.drawing+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drawings/drawing36.xml" ContentType="application/vnd.openxmlformats-officedocument.drawing+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drawings/drawing37.xml" ContentType="application/vnd.openxmlformats-officedocument.drawing+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H:\internal\RP&amp;A\Rate Changes &amp; Tariff Book Files\Rate Change\Rate Calc\2026\02.February\"/>
    </mc:Choice>
  </mc:AlternateContent>
  <xr:revisionPtr revIDLastSave="0" documentId="13_ncr:1_{5F0387EF-A9C0-475D-BAB5-36884E249485}" xr6:coauthVersionLast="47" xr6:coauthVersionMax="47" xr10:uidLastSave="{00000000-0000-0000-0000-000000000000}"/>
  <bookViews>
    <workbookView xWindow="-120" yWindow="-120" windowWidth="29040" windowHeight="15720" tabRatio="953" xr2:uid="{0D9AAA34-E7CF-4C4B-9C3A-E3CC7E1C346F}"/>
  </bookViews>
  <sheets>
    <sheet name="Customer Info" sheetId="1" r:id="rId1"/>
    <sheet name="Rider Def" sheetId="2" r:id="rId2"/>
    <sheet name="RR Bundled" sheetId="3" r:id="rId3"/>
    <sheet name="RLM Bundled" sheetId="4" r:id="rId4"/>
    <sheet name="RSDM Bundled" sheetId="5" r:id="rId5"/>
    <sheet name="RS TOU Bundled" sheetId="6" r:id="rId6"/>
    <sheet name="RS PEV " sheetId="7" r:id="rId7"/>
    <sheet name="RS TOD Bundled" sheetId="8" r:id="rId8"/>
    <sheet name="RR Pilot PEV" sheetId="9" r:id="rId9"/>
    <sheet name="GS-1 Bundled" sheetId="10" r:id="rId10"/>
    <sheet name="GS-TOU Bundled" sheetId="11" r:id="rId11"/>
    <sheet name="GS TOD Bundled" sheetId="12" r:id="rId12"/>
    <sheet name="GS-Pilot PEV" sheetId="13" r:id="rId13"/>
    <sheet name="GS FAIR - SEC" sheetId="14" r:id="rId14"/>
    <sheet name="GS FAIR - PRI" sheetId="15" r:id="rId15"/>
    <sheet name="Bus PEV - Sec" sheetId="16" r:id="rId16"/>
    <sheet name="Bus PEV - Primary" sheetId="17" r:id="rId17"/>
    <sheet name="Bus PEV - Trans" sheetId="18" r:id="rId18"/>
    <sheet name="GS SEC" sheetId="19" r:id="rId19"/>
    <sheet name="GS PRI" sheetId="20" r:id="rId20"/>
    <sheet name="GS TRANS" sheetId="21" r:id="rId21"/>
    <sheet name="GS DCT SEC" sheetId="34" r:id="rId22"/>
    <sheet name="GS DCT PRI" sheetId="35" r:id="rId23"/>
    <sheet name="GS DCT TRANS" sheetId="36" r:id="rId24"/>
    <sheet name="RR Open Access" sheetId="22" r:id="rId25"/>
    <sheet name="RS PEV  OAD" sheetId="23" r:id="rId26"/>
    <sheet name="RSDM Open" sheetId="24" r:id="rId27"/>
    <sheet name="GS-1 Open" sheetId="25" r:id="rId28"/>
    <sheet name="GS-PEV Pilot OAD" sheetId="26" r:id="rId29"/>
    <sheet name="GS SEC OAD" sheetId="27" r:id="rId30"/>
    <sheet name="GS PRI OAD" sheetId="28" r:id="rId31"/>
    <sheet name="GS TRANS - OAD" sheetId="29" r:id="rId32"/>
    <sheet name="GS DCT SEC OAD" sheetId="37" r:id="rId33"/>
    <sheet name="GS DCT PRI OAD" sheetId="38" r:id="rId34"/>
    <sheet name="GS DCT TRANS - OAD" sheetId="39" r:id="rId35"/>
    <sheet name="Bus PEV - Sec OAD" sheetId="30" r:id="rId36"/>
    <sheet name="Bus PEV - Primary OAD" sheetId="31" r:id="rId37"/>
    <sheet name="Bus PEV - Trans OAD" sheetId="32" r:id="rId38"/>
    <sheet name="Rider Rates" sheetId="33" r:id="rId39"/>
  </sheets>
  <definedNames>
    <definedName name="_xlnm.Print_Area" localSheetId="0">'Customer Info'!$A$1:$F$38</definedName>
    <definedName name="_xlnm.Print_Area" localSheetId="22">'GS DCT PRI'!$A$1:$P$78</definedName>
    <definedName name="_xlnm.Print_Area" localSheetId="33">'GS DCT PRI OAD'!$A$1:$P$72</definedName>
    <definedName name="_xlnm.Print_Area" localSheetId="21">'GS DCT SEC'!$A$1:$P$78</definedName>
    <definedName name="_xlnm.Print_Area" localSheetId="32">'GS DCT SEC OAD'!$A$1:$P$72</definedName>
    <definedName name="_xlnm.Print_Area" localSheetId="23">'GS DCT TRANS'!$A$1:$P$77</definedName>
    <definedName name="_xlnm.Print_Area" localSheetId="34">'GS DCT TRANS - OAD'!$A$1:$P$71</definedName>
    <definedName name="_xlnm.Print_Area" localSheetId="14">'GS FAIR - PRI'!$A$1:$P$71</definedName>
    <definedName name="_xlnm.Print_Area" localSheetId="13">'GS FAIR - SEC'!$A$1:$P$71</definedName>
    <definedName name="_xlnm.Print_Area" localSheetId="19">'GS PRI'!$A$1:$P$78</definedName>
    <definedName name="_xlnm.Print_Area" localSheetId="30">'GS PRI OAD'!$A$1:$P$72</definedName>
    <definedName name="_xlnm.Print_Area" localSheetId="18">'GS SEC'!$A$1:$P$78</definedName>
    <definedName name="_xlnm.Print_Area" localSheetId="29">'GS SEC OAD'!$A$1:$P$72</definedName>
    <definedName name="_xlnm.Print_Area" localSheetId="11">'GS TOD Bundled'!$A$1:$P$63</definedName>
    <definedName name="_xlnm.Print_Area" localSheetId="20">'GS TRANS'!$A$1:$P$77</definedName>
    <definedName name="_xlnm.Print_Area" localSheetId="31">'GS TRANS - OAD'!$A$1:$P$71</definedName>
    <definedName name="_xlnm.Print_Area" localSheetId="9">'GS-1 Bundled'!$A$1:$P$64</definedName>
    <definedName name="_xlnm.Print_Area" localSheetId="27">'GS-1 Open'!$A$1:$P$60</definedName>
    <definedName name="_xlnm.Print_Area" localSheetId="28">'GS-PEV Pilot OAD'!$A$1:$P$65</definedName>
    <definedName name="_xlnm.Print_Area" localSheetId="12">'GS-Pilot PEV'!$A$1:$P$65</definedName>
    <definedName name="_xlnm.Print_Area" localSheetId="10">'GS-TOU Bundled'!$A$1:$P$65</definedName>
    <definedName name="_xlnm.Print_Area" localSheetId="1">'Rider Def'!$A$1:$A$34</definedName>
    <definedName name="_xlnm.Print_Area" localSheetId="38">'Rider Rates'!$A$1:$G$141</definedName>
    <definedName name="_xlnm.Print_Area" localSheetId="3">'RLM Bundled'!$A$1:$P$61</definedName>
    <definedName name="_xlnm.Print_Area" localSheetId="2">'RR Bundled'!$A$1:$P$67</definedName>
    <definedName name="_xlnm.Print_Area" localSheetId="24">'RR Open Access'!$A$1:$P$63</definedName>
    <definedName name="_xlnm.Print_Area" localSheetId="8">'RR Pilot PEV'!$A$1:$P$68</definedName>
    <definedName name="_xlnm.Print_Area" localSheetId="6">'RS PEV '!$A$1:$P$67</definedName>
    <definedName name="_xlnm.Print_Area" localSheetId="25">'RS PEV  OAD'!$A$1:$P$67</definedName>
    <definedName name="_xlnm.Print_Area" localSheetId="7">'RS TOD Bundled'!$A$1:$P$62</definedName>
    <definedName name="_xlnm.Print_Area" localSheetId="5">'RS TOU Bundled'!$A$1:$P$68</definedName>
    <definedName name="_xlnm.Print_Area" localSheetId="4">'RSDM Bundled'!$A$1:$P$60</definedName>
    <definedName name="_xlnm.Print_Area" localSheetId="26">'RSDM Open'!$A$1:$P$56</definedName>
    <definedName name="_xlnm.Print_Titles" localSheetId="38">'Rider Rates'!$1:$2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8" i="34" l="1"/>
  <c r="D28" i="38"/>
  <c r="D28" i="37"/>
  <c r="D27" i="36"/>
  <c r="D28" i="35"/>
  <c r="D66" i="39" l="1"/>
  <c r="L57" i="39"/>
  <c r="L55" i="39"/>
  <c r="P53" i="39"/>
  <c r="J53" i="39"/>
  <c r="N53" i="39" s="1"/>
  <c r="O53" i="39" s="1"/>
  <c r="I53" i="39"/>
  <c r="P52" i="39"/>
  <c r="I52" i="39"/>
  <c r="J52" i="39" s="1"/>
  <c r="P51" i="39"/>
  <c r="I51" i="39"/>
  <c r="J51" i="39" s="1"/>
  <c r="P50" i="39"/>
  <c r="I50" i="39"/>
  <c r="J50" i="39" s="1"/>
  <c r="P49" i="39"/>
  <c r="I49" i="39"/>
  <c r="J49" i="39" s="1"/>
  <c r="P48" i="39"/>
  <c r="N48" i="39"/>
  <c r="O48" i="39" s="1"/>
  <c r="I48" i="39"/>
  <c r="J48" i="39" s="1"/>
  <c r="P47" i="39"/>
  <c r="I47" i="39"/>
  <c r="J47" i="39" s="1"/>
  <c r="P46" i="39"/>
  <c r="I46" i="39"/>
  <c r="N46" i="39" s="1"/>
  <c r="O46" i="39" s="1"/>
  <c r="P45" i="39"/>
  <c r="I45" i="39"/>
  <c r="J45" i="39" s="1"/>
  <c r="P44" i="39"/>
  <c r="I44" i="39"/>
  <c r="J44" i="39" s="1"/>
  <c r="J43" i="39"/>
  <c r="I43" i="39"/>
  <c r="P42" i="39"/>
  <c r="I42" i="39"/>
  <c r="J42" i="39" s="1"/>
  <c r="P41" i="39"/>
  <c r="H41" i="39"/>
  <c r="J41" i="39" s="1"/>
  <c r="P40" i="39"/>
  <c r="H40" i="39"/>
  <c r="J40" i="39" s="1"/>
  <c r="P39" i="39"/>
  <c r="P38" i="39"/>
  <c r="I38" i="39"/>
  <c r="J38" i="39" s="1"/>
  <c r="P37" i="39"/>
  <c r="J37" i="39"/>
  <c r="I37" i="39"/>
  <c r="P36" i="39"/>
  <c r="I36" i="39"/>
  <c r="J36" i="39" s="1"/>
  <c r="P35" i="39"/>
  <c r="J35" i="39"/>
  <c r="I35" i="39"/>
  <c r="P34" i="39"/>
  <c r="I34" i="39"/>
  <c r="J34" i="39" s="1"/>
  <c r="P33" i="39"/>
  <c r="J33" i="39"/>
  <c r="I33" i="39"/>
  <c r="J28" i="39"/>
  <c r="J27" i="39"/>
  <c r="C19" i="39"/>
  <c r="C17" i="39"/>
  <c r="D17" i="39" s="1"/>
  <c r="C16" i="39"/>
  <c r="C15" i="39"/>
  <c r="D15" i="39" s="1"/>
  <c r="C14" i="39"/>
  <c r="AD12" i="39"/>
  <c r="AC12" i="39"/>
  <c r="AB12" i="39"/>
  <c r="AA12" i="39"/>
  <c r="Z12" i="39"/>
  <c r="Y12" i="39"/>
  <c r="X12" i="39"/>
  <c r="W12" i="39"/>
  <c r="V12" i="39"/>
  <c r="U12" i="39"/>
  <c r="T12" i="39"/>
  <c r="S12" i="39"/>
  <c r="D10" i="39"/>
  <c r="B10" i="39"/>
  <c r="C10" i="39" s="1"/>
  <c r="C9" i="39"/>
  <c r="C8" i="39"/>
  <c r="A6" i="39"/>
  <c r="A4" i="39"/>
  <c r="D67" i="38"/>
  <c r="L56" i="38"/>
  <c r="L58" i="38" s="1"/>
  <c r="P54" i="38"/>
  <c r="J54" i="38"/>
  <c r="N54" i="38" s="1"/>
  <c r="O54" i="38" s="1"/>
  <c r="I54" i="38"/>
  <c r="P53" i="38"/>
  <c r="J53" i="38"/>
  <c r="I53" i="38"/>
  <c r="P52" i="38"/>
  <c r="I52" i="38"/>
  <c r="J52" i="38" s="1"/>
  <c r="P51" i="38"/>
  <c r="I51" i="38"/>
  <c r="J51" i="38" s="1"/>
  <c r="P50" i="38"/>
  <c r="I50" i="38"/>
  <c r="J50" i="38" s="1"/>
  <c r="P49" i="38"/>
  <c r="I49" i="38"/>
  <c r="N49" i="38" s="1"/>
  <c r="O49" i="38" s="1"/>
  <c r="P48" i="38"/>
  <c r="I48" i="38"/>
  <c r="J48" i="38" s="1"/>
  <c r="P47" i="38"/>
  <c r="I47" i="38"/>
  <c r="N47" i="38" s="1"/>
  <c r="O47" i="38" s="1"/>
  <c r="P46" i="38"/>
  <c r="I46" i="38"/>
  <c r="J46" i="38" s="1"/>
  <c r="P45" i="38"/>
  <c r="I45" i="38"/>
  <c r="J45" i="38" s="1"/>
  <c r="P44" i="38"/>
  <c r="J44" i="38"/>
  <c r="I44" i="38"/>
  <c r="P43" i="38"/>
  <c r="I43" i="38"/>
  <c r="J43" i="38" s="1"/>
  <c r="P42" i="38"/>
  <c r="H42" i="38"/>
  <c r="J42" i="38" s="1"/>
  <c r="P41" i="38"/>
  <c r="H41" i="38"/>
  <c r="J41" i="38" s="1"/>
  <c r="P40" i="38"/>
  <c r="P39" i="38"/>
  <c r="I39" i="38"/>
  <c r="J39" i="38" s="1"/>
  <c r="P38" i="38"/>
  <c r="J38" i="38"/>
  <c r="I38" i="38"/>
  <c r="P37" i="38"/>
  <c r="I37" i="38"/>
  <c r="J37" i="38" s="1"/>
  <c r="P36" i="38"/>
  <c r="J36" i="38"/>
  <c r="I36" i="38"/>
  <c r="P35" i="38"/>
  <c r="I35" i="38"/>
  <c r="J35" i="38" s="1"/>
  <c r="P34" i="38"/>
  <c r="J34" i="38"/>
  <c r="I34" i="38"/>
  <c r="J29" i="38"/>
  <c r="J28" i="38"/>
  <c r="N26" i="38"/>
  <c r="J26" i="38"/>
  <c r="C20" i="38"/>
  <c r="D19" i="38"/>
  <c r="C17" i="38"/>
  <c r="D17" i="38" s="1"/>
  <c r="C16" i="38"/>
  <c r="C15" i="38"/>
  <c r="C14" i="38"/>
  <c r="D14" i="38" s="1"/>
  <c r="AD12" i="38"/>
  <c r="AC12" i="38"/>
  <c r="AB12" i="38"/>
  <c r="AA12" i="38"/>
  <c r="Z12" i="38"/>
  <c r="Y12" i="38"/>
  <c r="X12" i="38"/>
  <c r="W12" i="38"/>
  <c r="V12" i="38"/>
  <c r="U12" i="38"/>
  <c r="T12" i="38"/>
  <c r="S12" i="38"/>
  <c r="D10" i="38"/>
  <c r="B10" i="38"/>
  <c r="C10" i="38" s="1"/>
  <c r="C9" i="38"/>
  <c r="C8" i="38"/>
  <c r="A6" i="38"/>
  <c r="A4" i="38"/>
  <c r="D67" i="37"/>
  <c r="L58" i="37"/>
  <c r="L56" i="37"/>
  <c r="P54" i="37"/>
  <c r="I54" i="37"/>
  <c r="J54" i="37" s="1"/>
  <c r="N54" i="37" s="1"/>
  <c r="O54" i="37" s="1"/>
  <c r="P53" i="37"/>
  <c r="I53" i="37"/>
  <c r="J53" i="37" s="1"/>
  <c r="P52" i="37"/>
  <c r="J52" i="37"/>
  <c r="I52" i="37"/>
  <c r="P51" i="37"/>
  <c r="I51" i="37"/>
  <c r="J51" i="37" s="1"/>
  <c r="P50" i="37"/>
  <c r="J50" i="37"/>
  <c r="I50" i="37"/>
  <c r="P49" i="37"/>
  <c r="I49" i="37"/>
  <c r="N49" i="37" s="1"/>
  <c r="O49" i="37" s="1"/>
  <c r="P48" i="37"/>
  <c r="I48" i="37"/>
  <c r="J48" i="37" s="1"/>
  <c r="P47" i="37"/>
  <c r="I47" i="37"/>
  <c r="J47" i="37" s="1"/>
  <c r="P46" i="37"/>
  <c r="I46" i="37"/>
  <c r="J46" i="37" s="1"/>
  <c r="P45" i="37"/>
  <c r="I45" i="37"/>
  <c r="J45" i="37" s="1"/>
  <c r="P44" i="37"/>
  <c r="I44" i="37"/>
  <c r="J44" i="37" s="1"/>
  <c r="P43" i="37"/>
  <c r="J43" i="37"/>
  <c r="I43" i="37"/>
  <c r="P42" i="37"/>
  <c r="H42" i="37"/>
  <c r="J42" i="37" s="1"/>
  <c r="P41" i="37"/>
  <c r="J41" i="37"/>
  <c r="H41" i="37"/>
  <c r="P40" i="37"/>
  <c r="P39" i="37"/>
  <c r="J39" i="37"/>
  <c r="I39" i="37"/>
  <c r="P38" i="37"/>
  <c r="I38" i="37"/>
  <c r="J38" i="37" s="1"/>
  <c r="P37" i="37"/>
  <c r="J37" i="37"/>
  <c r="I37" i="37"/>
  <c r="P36" i="37"/>
  <c r="I36" i="37"/>
  <c r="J36" i="37" s="1"/>
  <c r="P35" i="37"/>
  <c r="J35" i="37"/>
  <c r="I35" i="37"/>
  <c r="P34" i="37"/>
  <c r="I34" i="37"/>
  <c r="J34" i="37" s="1"/>
  <c r="J29" i="37"/>
  <c r="J28" i="37"/>
  <c r="O26" i="37"/>
  <c r="N26" i="37"/>
  <c r="J26" i="37"/>
  <c r="C20" i="37"/>
  <c r="D19" i="37" s="1"/>
  <c r="C17" i="37"/>
  <c r="C16" i="37"/>
  <c r="D37" i="37" s="1"/>
  <c r="C15" i="37"/>
  <c r="C14" i="37"/>
  <c r="D14" i="37" s="1"/>
  <c r="D42" i="37" s="1"/>
  <c r="AD12" i="37"/>
  <c r="AC12" i="37"/>
  <c r="AB12" i="37"/>
  <c r="AA12" i="37"/>
  <c r="Z12" i="37"/>
  <c r="Y12" i="37"/>
  <c r="X12" i="37"/>
  <c r="W12" i="37"/>
  <c r="V12" i="37"/>
  <c r="U12" i="37"/>
  <c r="T12" i="37"/>
  <c r="S12" i="37"/>
  <c r="D10" i="37"/>
  <c r="B10" i="37"/>
  <c r="C10" i="37" s="1"/>
  <c r="C9" i="37"/>
  <c r="C8" i="37"/>
  <c r="A6" i="37"/>
  <c r="A4" i="37"/>
  <c r="D72" i="36"/>
  <c r="P59" i="36"/>
  <c r="J59" i="36"/>
  <c r="N59" i="36" s="1"/>
  <c r="O59" i="36" s="1"/>
  <c r="I59" i="36"/>
  <c r="P58" i="36"/>
  <c r="I58" i="36"/>
  <c r="J58" i="36" s="1"/>
  <c r="P57" i="36"/>
  <c r="I57" i="36"/>
  <c r="J57" i="36" s="1"/>
  <c r="P56" i="36"/>
  <c r="I56" i="36"/>
  <c r="J56" i="36" s="1"/>
  <c r="P55" i="36"/>
  <c r="I55" i="36"/>
  <c r="J55" i="36" s="1"/>
  <c r="P54" i="36"/>
  <c r="G54" i="36"/>
  <c r="J54" i="36" s="1"/>
  <c r="D54" i="36"/>
  <c r="P53" i="36"/>
  <c r="N53" i="36"/>
  <c r="O53" i="36" s="1"/>
  <c r="I53" i="36"/>
  <c r="J53" i="36" s="1"/>
  <c r="P52" i="36"/>
  <c r="J52" i="36"/>
  <c r="I52" i="36"/>
  <c r="P51" i="36"/>
  <c r="J51" i="36"/>
  <c r="P50" i="36"/>
  <c r="J50" i="36"/>
  <c r="P49" i="36"/>
  <c r="I49" i="36"/>
  <c r="N49" i="36" s="1"/>
  <c r="O49" i="36" s="1"/>
  <c r="P48" i="36"/>
  <c r="I48" i="36"/>
  <c r="J48" i="36" s="1"/>
  <c r="P47" i="36"/>
  <c r="I47" i="36"/>
  <c r="J47" i="36" s="1"/>
  <c r="J46" i="36"/>
  <c r="I46" i="36"/>
  <c r="P45" i="36"/>
  <c r="I45" i="36"/>
  <c r="J45" i="36" s="1"/>
  <c r="P44" i="36"/>
  <c r="H44" i="36"/>
  <c r="J44" i="36" s="1"/>
  <c r="P43" i="36"/>
  <c r="H43" i="36"/>
  <c r="J43" i="36" s="1"/>
  <c r="P42" i="36"/>
  <c r="P41" i="36"/>
  <c r="G41" i="36"/>
  <c r="J41" i="36" s="1"/>
  <c r="D41" i="36"/>
  <c r="P40" i="36"/>
  <c r="J40" i="36"/>
  <c r="G40" i="36"/>
  <c r="D40" i="36"/>
  <c r="L40" i="36" s="1"/>
  <c r="O40" i="36" s="1"/>
  <c r="P39" i="36"/>
  <c r="J39" i="36"/>
  <c r="G39" i="36"/>
  <c r="D39" i="36"/>
  <c r="L39" i="36" s="1"/>
  <c r="P38" i="36"/>
  <c r="J38" i="36"/>
  <c r="I38" i="36"/>
  <c r="P37" i="36"/>
  <c r="I37" i="36"/>
  <c r="J37" i="36" s="1"/>
  <c r="P36" i="36"/>
  <c r="J36" i="36"/>
  <c r="I36" i="36"/>
  <c r="P35" i="36"/>
  <c r="J35" i="36"/>
  <c r="I35" i="36"/>
  <c r="P34" i="36"/>
  <c r="J34" i="36"/>
  <c r="I34" i="36"/>
  <c r="P33" i="36"/>
  <c r="I33" i="36"/>
  <c r="J33" i="36" s="1"/>
  <c r="J28" i="36"/>
  <c r="J27" i="36"/>
  <c r="C19" i="36"/>
  <c r="C17" i="36"/>
  <c r="C16" i="36"/>
  <c r="D36" i="36" s="1"/>
  <c r="N36" i="36" s="1"/>
  <c r="O36" i="36" s="1"/>
  <c r="C15" i="36"/>
  <c r="D15" i="36" s="1"/>
  <c r="C14" i="36"/>
  <c r="AD12" i="36"/>
  <c r="AC12" i="36"/>
  <c r="AB12" i="36"/>
  <c r="AA12" i="36"/>
  <c r="Z12" i="36"/>
  <c r="Y12" i="36"/>
  <c r="X12" i="36"/>
  <c r="W12" i="36"/>
  <c r="V12" i="36"/>
  <c r="U12" i="36"/>
  <c r="T12" i="36"/>
  <c r="S12" i="36"/>
  <c r="D10" i="36"/>
  <c r="B10" i="36"/>
  <c r="C10" i="36" s="1"/>
  <c r="C9" i="36"/>
  <c r="C8" i="36"/>
  <c r="A6" i="36"/>
  <c r="A4" i="36"/>
  <c r="D73" i="35"/>
  <c r="P60" i="35"/>
  <c r="I60" i="35"/>
  <c r="J60" i="35" s="1"/>
  <c r="N60" i="35" s="1"/>
  <c r="O60" i="35" s="1"/>
  <c r="P59" i="35"/>
  <c r="J59" i="35"/>
  <c r="I59" i="35"/>
  <c r="P58" i="35"/>
  <c r="J58" i="35"/>
  <c r="I58" i="35"/>
  <c r="P57" i="35"/>
  <c r="I57" i="35"/>
  <c r="J57" i="35" s="1"/>
  <c r="P56" i="35"/>
  <c r="J56" i="35"/>
  <c r="I56" i="35"/>
  <c r="P55" i="35"/>
  <c r="J55" i="35"/>
  <c r="G55" i="35"/>
  <c r="D55" i="35"/>
  <c r="L55" i="35" s="1"/>
  <c r="O55" i="35" s="1"/>
  <c r="P54" i="35"/>
  <c r="J54" i="35"/>
  <c r="I54" i="35"/>
  <c r="N54" i="35" s="1"/>
  <c r="O54" i="35" s="1"/>
  <c r="P53" i="35"/>
  <c r="I53" i="35"/>
  <c r="J53" i="35" s="1"/>
  <c r="P52" i="35"/>
  <c r="J52" i="35"/>
  <c r="P51" i="35"/>
  <c r="J51" i="35"/>
  <c r="P50" i="35"/>
  <c r="I50" i="35"/>
  <c r="N50" i="35" s="1"/>
  <c r="O50" i="35" s="1"/>
  <c r="P49" i="35"/>
  <c r="J49" i="35"/>
  <c r="I49" i="35"/>
  <c r="P48" i="35"/>
  <c r="I48" i="35"/>
  <c r="J48" i="35" s="1"/>
  <c r="P47" i="35"/>
  <c r="J47" i="35"/>
  <c r="I47" i="35"/>
  <c r="P46" i="35"/>
  <c r="J46" i="35"/>
  <c r="I46" i="35"/>
  <c r="P45" i="35"/>
  <c r="H45" i="35"/>
  <c r="J45" i="35" s="1"/>
  <c r="P44" i="35"/>
  <c r="H44" i="35"/>
  <c r="J44" i="35" s="1"/>
  <c r="P43" i="35"/>
  <c r="P42" i="35"/>
  <c r="G42" i="35"/>
  <c r="J42" i="35" s="1"/>
  <c r="D42" i="35"/>
  <c r="P41" i="35"/>
  <c r="J41" i="35"/>
  <c r="G41" i="35"/>
  <c r="D41" i="35"/>
  <c r="L41" i="35" s="1"/>
  <c r="O41" i="35" s="1"/>
  <c r="P40" i="35"/>
  <c r="J40" i="35"/>
  <c r="G40" i="35"/>
  <c r="D40" i="35"/>
  <c r="L40" i="35" s="1"/>
  <c r="P39" i="35"/>
  <c r="J39" i="35"/>
  <c r="I39" i="35"/>
  <c r="P38" i="35"/>
  <c r="J38" i="35"/>
  <c r="I38" i="35"/>
  <c r="P37" i="35"/>
  <c r="J37" i="35"/>
  <c r="I37" i="35"/>
  <c r="P36" i="35"/>
  <c r="J36" i="35"/>
  <c r="I36" i="35"/>
  <c r="P35" i="35"/>
  <c r="J35" i="35"/>
  <c r="I35" i="35"/>
  <c r="P34" i="35"/>
  <c r="I34" i="35"/>
  <c r="J34" i="35" s="1"/>
  <c r="J29" i="35"/>
  <c r="J28" i="35"/>
  <c r="O26" i="35"/>
  <c r="N26" i="35"/>
  <c r="J26" i="35"/>
  <c r="C20" i="35"/>
  <c r="D19" i="35"/>
  <c r="C17" i="35"/>
  <c r="D17" i="35" s="1"/>
  <c r="C16" i="35"/>
  <c r="D44" i="35" s="1"/>
  <c r="M44" i="35" s="1"/>
  <c r="D15" i="35"/>
  <c r="C15" i="35"/>
  <c r="C14" i="35"/>
  <c r="D14" i="35" s="1"/>
  <c r="D45" i="35" s="1"/>
  <c r="AD12" i="35"/>
  <c r="AC12" i="35"/>
  <c r="AB12" i="35"/>
  <c r="AA12" i="35"/>
  <c r="Z12" i="35"/>
  <c r="Y12" i="35"/>
  <c r="X12" i="35"/>
  <c r="W12" i="35"/>
  <c r="V12" i="35"/>
  <c r="U12" i="35"/>
  <c r="T12" i="35"/>
  <c r="S12" i="35"/>
  <c r="D10" i="35"/>
  <c r="B10" i="35"/>
  <c r="C10" i="35" s="1"/>
  <c r="C9" i="35"/>
  <c r="C8" i="35"/>
  <c r="A6" i="35"/>
  <c r="A4" i="35"/>
  <c r="P60" i="34"/>
  <c r="J60" i="34"/>
  <c r="N60" i="34" s="1"/>
  <c r="O60" i="34" s="1"/>
  <c r="I60" i="34"/>
  <c r="P59" i="34"/>
  <c r="J59" i="34"/>
  <c r="I59" i="34"/>
  <c r="P58" i="34"/>
  <c r="I58" i="34"/>
  <c r="J58" i="34" s="1"/>
  <c r="P57" i="34"/>
  <c r="I57" i="34"/>
  <c r="J57" i="34" s="1"/>
  <c r="P56" i="34"/>
  <c r="I56" i="34"/>
  <c r="J56" i="34" s="1"/>
  <c r="P55" i="34"/>
  <c r="J55" i="34"/>
  <c r="G55" i="34"/>
  <c r="D55" i="34"/>
  <c r="L55" i="34" s="1"/>
  <c r="O55" i="34" s="1"/>
  <c r="P54" i="34"/>
  <c r="I54" i="34"/>
  <c r="N54" i="34" s="1"/>
  <c r="O54" i="34" s="1"/>
  <c r="P53" i="34"/>
  <c r="J53" i="34"/>
  <c r="I53" i="34"/>
  <c r="P52" i="34"/>
  <c r="P51" i="34"/>
  <c r="P50" i="34"/>
  <c r="I50" i="34"/>
  <c r="N50" i="34" s="1"/>
  <c r="O50" i="34" s="1"/>
  <c r="P49" i="34"/>
  <c r="I49" i="34"/>
  <c r="J49" i="34" s="1"/>
  <c r="P48" i="34"/>
  <c r="I48" i="34"/>
  <c r="J48" i="34" s="1"/>
  <c r="P47" i="34"/>
  <c r="I47" i="34"/>
  <c r="J47" i="34" s="1"/>
  <c r="P46" i="34"/>
  <c r="O46" i="34"/>
  <c r="J46" i="34"/>
  <c r="I46" i="34"/>
  <c r="P45" i="34"/>
  <c r="H45" i="34"/>
  <c r="J45" i="34" s="1"/>
  <c r="P44" i="34"/>
  <c r="J44" i="34"/>
  <c r="H44" i="34"/>
  <c r="P43" i="34"/>
  <c r="P42" i="34"/>
  <c r="G42" i="34"/>
  <c r="J42" i="34" s="1"/>
  <c r="D42" i="34"/>
  <c r="P41" i="34"/>
  <c r="G41" i="34"/>
  <c r="J41" i="34" s="1"/>
  <c r="D41" i="34"/>
  <c r="L41" i="34" s="1"/>
  <c r="P40" i="34"/>
  <c r="J40" i="34"/>
  <c r="G40" i="34"/>
  <c r="D40" i="34"/>
  <c r="L40" i="34" s="1"/>
  <c r="O40" i="34" s="1"/>
  <c r="P39" i="34"/>
  <c r="O39" i="34"/>
  <c r="I39" i="34"/>
  <c r="J39" i="34" s="1"/>
  <c r="P38" i="34"/>
  <c r="I38" i="34"/>
  <c r="J38" i="34" s="1"/>
  <c r="P37" i="34"/>
  <c r="J37" i="34"/>
  <c r="I37" i="34"/>
  <c r="P36" i="34"/>
  <c r="I36" i="34"/>
  <c r="J36" i="34" s="1"/>
  <c r="P35" i="34"/>
  <c r="I35" i="34"/>
  <c r="J35" i="34" s="1"/>
  <c r="P34" i="34"/>
  <c r="I34" i="34"/>
  <c r="J34" i="34" s="1"/>
  <c r="J29" i="34"/>
  <c r="J28" i="34"/>
  <c r="O26" i="34"/>
  <c r="N26" i="34"/>
  <c r="J26" i="34"/>
  <c r="C20" i="34"/>
  <c r="D17" i="34" s="1"/>
  <c r="D19" i="34"/>
  <c r="C17" i="34"/>
  <c r="C16" i="34"/>
  <c r="D43" i="34" s="1"/>
  <c r="C15" i="34"/>
  <c r="D15" i="34" s="1"/>
  <c r="C14" i="34"/>
  <c r="D14" i="34" s="1"/>
  <c r="D45" i="34" s="1"/>
  <c r="D10" i="34"/>
  <c r="B10" i="34"/>
  <c r="C10" i="34" s="1"/>
  <c r="C9" i="34"/>
  <c r="C8" i="34"/>
  <c r="A6" i="34"/>
  <c r="D53" i="33"/>
  <c r="I38" i="32" s="1"/>
  <c r="J38" i="32" s="1"/>
  <c r="D52" i="33"/>
  <c r="I42" i="23"/>
  <c r="J42" i="23" s="1"/>
  <c r="N42" i="23" s="1"/>
  <c r="O42" i="23" s="1"/>
  <c r="P53" i="32"/>
  <c r="I53" i="32"/>
  <c r="J53" i="32"/>
  <c r="N53" i="32"/>
  <c r="O53" i="32"/>
  <c r="P52" i="32"/>
  <c r="I52" i="32"/>
  <c r="J52" i="32"/>
  <c r="P51" i="32"/>
  <c r="I51" i="32"/>
  <c r="J51" i="32"/>
  <c r="P50" i="32"/>
  <c r="I50" i="32"/>
  <c r="J50" i="32" s="1"/>
  <c r="P49" i="32"/>
  <c r="I49" i="32"/>
  <c r="J49" i="32"/>
  <c r="P48" i="32"/>
  <c r="J48" i="32"/>
  <c r="P47" i="32"/>
  <c r="I47" i="32"/>
  <c r="N47" i="32" s="1"/>
  <c r="O47" i="32" s="1"/>
  <c r="P46" i="32"/>
  <c r="I46" i="32"/>
  <c r="J46" i="32" s="1"/>
  <c r="P45" i="32"/>
  <c r="J45" i="32"/>
  <c r="P44" i="32"/>
  <c r="I44" i="32"/>
  <c r="J44" i="32" s="1"/>
  <c r="P43" i="32"/>
  <c r="I43" i="32"/>
  <c r="J43" i="32" s="1"/>
  <c r="P42" i="32"/>
  <c r="I42" i="32"/>
  <c r="J42" i="32" s="1"/>
  <c r="I41" i="32"/>
  <c r="J41" i="32"/>
  <c r="N41" i="32"/>
  <c r="O41" i="32"/>
  <c r="P40" i="32"/>
  <c r="I40" i="32"/>
  <c r="J40" i="32"/>
  <c r="P39" i="32"/>
  <c r="H39" i="32"/>
  <c r="J39" i="32"/>
  <c r="P38" i="32"/>
  <c r="P37" i="32"/>
  <c r="J37" i="32"/>
  <c r="P36" i="32"/>
  <c r="J36" i="32"/>
  <c r="P35" i="32"/>
  <c r="J35" i="32"/>
  <c r="P34" i="32"/>
  <c r="J34" i="32"/>
  <c r="P33" i="32"/>
  <c r="I33" i="32"/>
  <c r="J33" i="32"/>
  <c r="P32" i="32"/>
  <c r="I32" i="32"/>
  <c r="J32" i="32"/>
  <c r="P31" i="32"/>
  <c r="I31" i="32"/>
  <c r="J31" i="32"/>
  <c r="P30" i="32"/>
  <c r="I30" i="32"/>
  <c r="J30" i="32"/>
  <c r="P29" i="32"/>
  <c r="I29" i="32"/>
  <c r="J29" i="32"/>
  <c r="P28" i="32"/>
  <c r="I28" i="32"/>
  <c r="J28" i="32"/>
  <c r="P27" i="32"/>
  <c r="I27" i="32"/>
  <c r="J27" i="32" s="1"/>
  <c r="P22" i="32"/>
  <c r="I22" i="32"/>
  <c r="J22" i="32"/>
  <c r="I21" i="32"/>
  <c r="N21" i="32"/>
  <c r="C17" i="32"/>
  <c r="D36" i="32" s="1"/>
  <c r="L36" i="32" s="1"/>
  <c r="O36" i="32" s="1"/>
  <c r="C16" i="32"/>
  <c r="C15" i="32"/>
  <c r="D30" i="32" s="1"/>
  <c r="N30" i="32" s="1"/>
  <c r="O30" i="32" s="1"/>
  <c r="AD13" i="32"/>
  <c r="AC13" i="32"/>
  <c r="AB13" i="32"/>
  <c r="AA13" i="32"/>
  <c r="Z13" i="32"/>
  <c r="Y13" i="32"/>
  <c r="X13" i="32"/>
  <c r="W13" i="32"/>
  <c r="V13" i="32"/>
  <c r="U13" i="32"/>
  <c r="T13" i="32"/>
  <c r="S13" i="32"/>
  <c r="D11" i="32"/>
  <c r="B11" i="32"/>
  <c r="C11" i="32" s="1"/>
  <c r="C10" i="32"/>
  <c r="C9" i="32"/>
  <c r="A6" i="32"/>
  <c r="A4" i="32"/>
  <c r="P53" i="31"/>
  <c r="I53" i="31"/>
  <c r="J53" i="31"/>
  <c r="N53" i="31"/>
  <c r="O53" i="31"/>
  <c r="P52" i="31"/>
  <c r="I52" i="31"/>
  <c r="J52" i="31"/>
  <c r="P51" i="31"/>
  <c r="I51" i="31"/>
  <c r="J51" i="31"/>
  <c r="P50" i="31"/>
  <c r="I50" i="31"/>
  <c r="J50" i="31" s="1"/>
  <c r="P49" i="31"/>
  <c r="I49" i="31"/>
  <c r="J49" i="31"/>
  <c r="P48" i="31"/>
  <c r="J48" i="31"/>
  <c r="P47" i="31"/>
  <c r="I47" i="31"/>
  <c r="N47" i="31" s="1"/>
  <c r="O47" i="31" s="1"/>
  <c r="P46" i="31"/>
  <c r="I46" i="31"/>
  <c r="J46" i="31"/>
  <c r="P45" i="31"/>
  <c r="J45" i="31"/>
  <c r="P44" i="31"/>
  <c r="I44" i="31"/>
  <c r="N44" i="31" s="1"/>
  <c r="O44" i="31" s="1"/>
  <c r="P43" i="31"/>
  <c r="I43" i="31"/>
  <c r="J43" i="31" s="1"/>
  <c r="P42" i="31"/>
  <c r="I42" i="31"/>
  <c r="J42" i="31"/>
  <c r="I41" i="31"/>
  <c r="J41" i="31"/>
  <c r="N41" i="31"/>
  <c r="O41" i="31"/>
  <c r="P40" i="31"/>
  <c r="I40" i="31"/>
  <c r="J40" i="31"/>
  <c r="P39" i="31"/>
  <c r="H39" i="31"/>
  <c r="J39" i="31"/>
  <c r="P38" i="31"/>
  <c r="I38" i="31"/>
  <c r="J38" i="31" s="1"/>
  <c r="P37" i="31"/>
  <c r="J37" i="31"/>
  <c r="P36" i="31"/>
  <c r="J36" i="31"/>
  <c r="P35" i="31"/>
  <c r="J35" i="31"/>
  <c r="P34" i="31"/>
  <c r="J34" i="31"/>
  <c r="P33" i="31"/>
  <c r="I33" i="31"/>
  <c r="J33" i="31"/>
  <c r="P32" i="31"/>
  <c r="I32" i="31"/>
  <c r="J32" i="31"/>
  <c r="P31" i="31"/>
  <c r="I31" i="31"/>
  <c r="P30" i="31"/>
  <c r="I30" i="31"/>
  <c r="J30" i="31"/>
  <c r="P29" i="31"/>
  <c r="I29" i="31"/>
  <c r="J29" i="31"/>
  <c r="P28" i="31"/>
  <c r="I28" i="31"/>
  <c r="J28" i="31"/>
  <c r="P27" i="31"/>
  <c r="I27" i="31"/>
  <c r="J27" i="31"/>
  <c r="P22" i="31"/>
  <c r="I22" i="31"/>
  <c r="J22" i="31"/>
  <c r="I21" i="31"/>
  <c r="C17" i="31"/>
  <c r="D36" i="31" s="1"/>
  <c r="L36" i="31" s="1"/>
  <c r="O36" i="31" s="1"/>
  <c r="C16" i="31"/>
  <c r="C15" i="31"/>
  <c r="D52" i="31" s="1"/>
  <c r="N52" i="31" s="1"/>
  <c r="O52" i="31" s="1"/>
  <c r="AD13" i="31"/>
  <c r="AC13" i="31"/>
  <c r="AB13" i="31"/>
  <c r="AA13" i="31"/>
  <c r="Z13" i="31"/>
  <c r="Y13" i="31"/>
  <c r="X13" i="31"/>
  <c r="W13" i="31"/>
  <c r="V13" i="31"/>
  <c r="U13" i="31"/>
  <c r="T13" i="31"/>
  <c r="S13" i="31"/>
  <c r="D11" i="31"/>
  <c r="B11" i="31"/>
  <c r="C11" i="31" s="1"/>
  <c r="C10" i="31"/>
  <c r="C9" i="31"/>
  <c r="A6" i="31"/>
  <c r="A4" i="31"/>
  <c r="P53" i="30"/>
  <c r="I53" i="30"/>
  <c r="J53" i="30"/>
  <c r="N53" i="30"/>
  <c r="O53" i="30"/>
  <c r="P52" i="30"/>
  <c r="I52" i="30"/>
  <c r="J52" i="30"/>
  <c r="P51" i="30"/>
  <c r="I51" i="30"/>
  <c r="J51" i="30"/>
  <c r="P50" i="30"/>
  <c r="I50" i="30"/>
  <c r="J50" i="30"/>
  <c r="P49" i="30"/>
  <c r="I49" i="30"/>
  <c r="J49" i="30"/>
  <c r="P48" i="30"/>
  <c r="J48" i="30"/>
  <c r="P47" i="30"/>
  <c r="I47" i="30"/>
  <c r="N47" i="30"/>
  <c r="O47" i="30" s="1"/>
  <c r="P46" i="30"/>
  <c r="I46" i="30"/>
  <c r="J46" i="30"/>
  <c r="P45" i="30"/>
  <c r="J45" i="30"/>
  <c r="P44" i="30"/>
  <c r="I44" i="30"/>
  <c r="J44" i="30"/>
  <c r="P43" i="30"/>
  <c r="I43" i="30"/>
  <c r="J43" i="30"/>
  <c r="P42" i="30"/>
  <c r="I42" i="30"/>
  <c r="J42" i="30"/>
  <c r="I41" i="30"/>
  <c r="J41" i="30"/>
  <c r="N41" i="30"/>
  <c r="O41" i="30"/>
  <c r="P40" i="30"/>
  <c r="I40" i="30"/>
  <c r="J40" i="30"/>
  <c r="P39" i="30"/>
  <c r="H39" i="30"/>
  <c r="J39" i="30"/>
  <c r="P38" i="30"/>
  <c r="P37" i="30"/>
  <c r="J37" i="30"/>
  <c r="P36" i="30"/>
  <c r="J36" i="30"/>
  <c r="P35" i="30"/>
  <c r="J35" i="30"/>
  <c r="P34" i="30"/>
  <c r="J34" i="30"/>
  <c r="D34" i="30"/>
  <c r="L34" i="30" s="1"/>
  <c r="O34" i="30" s="1"/>
  <c r="P33" i="30"/>
  <c r="I33" i="30"/>
  <c r="J33" i="30"/>
  <c r="P32" i="30"/>
  <c r="I32" i="30"/>
  <c r="J32" i="30"/>
  <c r="P31" i="30"/>
  <c r="I31" i="30"/>
  <c r="J31" i="30"/>
  <c r="P30" i="30"/>
  <c r="I30" i="30"/>
  <c r="J30" i="30"/>
  <c r="P29" i="30"/>
  <c r="I29" i="30"/>
  <c r="J29" i="30"/>
  <c r="P28" i="30"/>
  <c r="I28" i="30"/>
  <c r="J28" i="30"/>
  <c r="P27" i="30"/>
  <c r="I27" i="30"/>
  <c r="J27" i="30" s="1"/>
  <c r="P22" i="30"/>
  <c r="I22" i="30"/>
  <c r="J22" i="30"/>
  <c r="I21" i="30"/>
  <c r="C17" i="30"/>
  <c r="D36" i="30" s="1"/>
  <c r="L36" i="30" s="1"/>
  <c r="O36" i="30" s="1"/>
  <c r="C16" i="30"/>
  <c r="D48" i="30" s="1"/>
  <c r="L48" i="30" s="1"/>
  <c r="O48" i="30" s="1"/>
  <c r="C15" i="30"/>
  <c r="D27" i="30" s="1"/>
  <c r="N27" i="30" s="1"/>
  <c r="O27" i="30" s="1"/>
  <c r="AD13" i="30"/>
  <c r="AC13" i="30"/>
  <c r="AB13" i="30"/>
  <c r="AA13" i="30"/>
  <c r="Z13" i="30"/>
  <c r="Y13" i="30"/>
  <c r="X13" i="30"/>
  <c r="W13" i="30"/>
  <c r="V13" i="30"/>
  <c r="U13" i="30"/>
  <c r="T13" i="30"/>
  <c r="S13" i="30"/>
  <c r="D11" i="30"/>
  <c r="B11" i="30"/>
  <c r="C11" i="30" s="1"/>
  <c r="C10" i="30"/>
  <c r="C9" i="30"/>
  <c r="A6" i="30"/>
  <c r="A4" i="30"/>
  <c r="D66" i="29"/>
  <c r="L55" i="29"/>
  <c r="L57" i="29"/>
  <c r="P53" i="29"/>
  <c r="I53" i="29"/>
  <c r="J53" i="29"/>
  <c r="N53" i="29"/>
  <c r="O53" i="29"/>
  <c r="P52" i="29"/>
  <c r="I52" i="29"/>
  <c r="J52" i="29"/>
  <c r="P51" i="29"/>
  <c r="I51" i="29"/>
  <c r="J51" i="29"/>
  <c r="P50" i="29"/>
  <c r="I50" i="29"/>
  <c r="J50" i="29"/>
  <c r="P49" i="29"/>
  <c r="I49" i="29"/>
  <c r="J49" i="29"/>
  <c r="P48" i="29"/>
  <c r="I48" i="29"/>
  <c r="P47" i="29"/>
  <c r="I47" i="29"/>
  <c r="J47" i="29"/>
  <c r="P46" i="29"/>
  <c r="I46" i="29"/>
  <c r="P45" i="29"/>
  <c r="I45" i="29"/>
  <c r="J45" i="29"/>
  <c r="P44" i="29"/>
  <c r="I44" i="29"/>
  <c r="J44" i="29" s="1"/>
  <c r="I43" i="29"/>
  <c r="J43" i="29"/>
  <c r="P42" i="29"/>
  <c r="I42" i="29"/>
  <c r="J42" i="29"/>
  <c r="P41" i="29"/>
  <c r="H41" i="29"/>
  <c r="J41" i="29" s="1"/>
  <c r="P40" i="29"/>
  <c r="H40" i="29"/>
  <c r="J40" i="29" s="1"/>
  <c r="P39" i="29"/>
  <c r="P38" i="29"/>
  <c r="I38" i="29"/>
  <c r="J38" i="29"/>
  <c r="P37" i="29"/>
  <c r="I37" i="29"/>
  <c r="J37" i="29"/>
  <c r="P36" i="29"/>
  <c r="I36" i="29"/>
  <c r="J36" i="29"/>
  <c r="P35" i="29"/>
  <c r="I35" i="29"/>
  <c r="J35" i="29"/>
  <c r="P34" i="29"/>
  <c r="I34" i="29"/>
  <c r="J34" i="29"/>
  <c r="P33" i="29"/>
  <c r="I33" i="29"/>
  <c r="J33" i="29"/>
  <c r="J28" i="29"/>
  <c r="J27" i="29"/>
  <c r="C17" i="29"/>
  <c r="C16" i="29"/>
  <c r="O64" i="29" s="1"/>
  <c r="C15" i="29"/>
  <c r="C14" i="29"/>
  <c r="I15" i="29" s="1"/>
  <c r="AD12" i="29"/>
  <c r="AC12" i="29"/>
  <c r="AB12" i="29"/>
  <c r="AA12" i="29"/>
  <c r="Z12" i="29"/>
  <c r="Y12" i="29"/>
  <c r="X12" i="29"/>
  <c r="W12" i="29"/>
  <c r="V12" i="29"/>
  <c r="U12" i="29"/>
  <c r="T12" i="29"/>
  <c r="S12" i="29"/>
  <c r="D10" i="29"/>
  <c r="B10" i="29"/>
  <c r="C10" i="29" s="1"/>
  <c r="C9" i="29"/>
  <c r="C8" i="29"/>
  <c r="A6" i="29"/>
  <c r="A4" i="29"/>
  <c r="D67" i="28"/>
  <c r="L56" i="28"/>
  <c r="L58" i="28"/>
  <c r="P54" i="28"/>
  <c r="I54" i="28"/>
  <c r="J54" i="28"/>
  <c r="N54" i="28"/>
  <c r="O54" i="28"/>
  <c r="P53" i="28"/>
  <c r="I53" i="28"/>
  <c r="J53" i="28"/>
  <c r="P52" i="28"/>
  <c r="I52" i="28"/>
  <c r="J52" i="28"/>
  <c r="P51" i="28"/>
  <c r="I51" i="28"/>
  <c r="J51" i="28" s="1"/>
  <c r="P50" i="28"/>
  <c r="I50" i="28"/>
  <c r="J50" i="28"/>
  <c r="P49" i="28"/>
  <c r="I49" i="28"/>
  <c r="J49" i="28" s="1"/>
  <c r="P48" i="28"/>
  <c r="I48" i="28"/>
  <c r="J48" i="28" s="1"/>
  <c r="P47" i="28"/>
  <c r="I47" i="28"/>
  <c r="N47" i="28" s="1"/>
  <c r="O47" i="28" s="1"/>
  <c r="P46" i="28"/>
  <c r="I46" i="28"/>
  <c r="J46" i="28"/>
  <c r="P45" i="28"/>
  <c r="I45" i="28"/>
  <c r="J45" i="28"/>
  <c r="P44" i="28"/>
  <c r="I44" i="28"/>
  <c r="J44" i="28"/>
  <c r="P43" i="28"/>
  <c r="I43" i="28"/>
  <c r="J43" i="28"/>
  <c r="P42" i="28"/>
  <c r="H42" i="28"/>
  <c r="J42" i="28"/>
  <c r="P41" i="28"/>
  <c r="H41" i="28"/>
  <c r="J41" i="28" s="1"/>
  <c r="P40" i="28"/>
  <c r="I40" i="28"/>
  <c r="J40" i="28" s="1"/>
  <c r="P39" i="28"/>
  <c r="I39" i="28"/>
  <c r="J39" i="28"/>
  <c r="P38" i="28"/>
  <c r="I38" i="28"/>
  <c r="J38" i="28"/>
  <c r="P37" i="28"/>
  <c r="I37" i="28"/>
  <c r="J37" i="28"/>
  <c r="P36" i="28"/>
  <c r="I36" i="28"/>
  <c r="J36" i="28"/>
  <c r="P35" i="28"/>
  <c r="I35" i="28"/>
  <c r="J35" i="28"/>
  <c r="P34" i="28"/>
  <c r="I34" i="28"/>
  <c r="J34" i="28" s="1"/>
  <c r="J29" i="28"/>
  <c r="J28" i="28"/>
  <c r="O26" i="28"/>
  <c r="N26" i="28"/>
  <c r="J26" i="28"/>
  <c r="C20" i="28"/>
  <c r="D19" i="28"/>
  <c r="C17" i="28"/>
  <c r="D17" i="28" s="1"/>
  <c r="C16" i="28"/>
  <c r="O65" i="28" s="1"/>
  <c r="C15" i="28"/>
  <c r="C14" i="28"/>
  <c r="AD12" i="28"/>
  <c r="AC12" i="28"/>
  <c r="AB12" i="28"/>
  <c r="AA12" i="28"/>
  <c r="Z12" i="28"/>
  <c r="Y12" i="28"/>
  <c r="X12" i="28"/>
  <c r="W12" i="28"/>
  <c r="V12" i="28"/>
  <c r="U12" i="28"/>
  <c r="T12" i="28"/>
  <c r="S12" i="28"/>
  <c r="D10" i="28"/>
  <c r="B10" i="28"/>
  <c r="C10" i="28" s="1"/>
  <c r="C9" i="28"/>
  <c r="C8" i="28"/>
  <c r="A6" i="28"/>
  <c r="A4" i="28"/>
  <c r="D67" i="27"/>
  <c r="L56" i="27"/>
  <c r="L58" i="27"/>
  <c r="P54" i="27"/>
  <c r="I54" i="27"/>
  <c r="J54" i="27"/>
  <c r="N54" i="27"/>
  <c r="O54" i="27"/>
  <c r="P53" i="27"/>
  <c r="I53" i="27"/>
  <c r="J53" i="27"/>
  <c r="P52" i="27"/>
  <c r="I52" i="27"/>
  <c r="J52" i="27"/>
  <c r="P51" i="27"/>
  <c r="I51" i="27"/>
  <c r="J51" i="27"/>
  <c r="P50" i="27"/>
  <c r="I50" i="27"/>
  <c r="J50" i="27"/>
  <c r="P49" i="27"/>
  <c r="I49" i="27"/>
  <c r="N49" i="27" s="1"/>
  <c r="O49" i="27" s="1"/>
  <c r="P48" i="27"/>
  <c r="I48" i="27"/>
  <c r="J48" i="27"/>
  <c r="P47" i="27"/>
  <c r="I47" i="27"/>
  <c r="N47" i="27" s="1"/>
  <c r="O47" i="27" s="1"/>
  <c r="P46" i="27"/>
  <c r="I46" i="27"/>
  <c r="J46" i="27"/>
  <c r="P45" i="27"/>
  <c r="I45" i="27"/>
  <c r="J45" i="27"/>
  <c r="P44" i="27"/>
  <c r="I44" i="27"/>
  <c r="J44" i="27"/>
  <c r="P43" i="27"/>
  <c r="I43" i="27"/>
  <c r="J43" i="27"/>
  <c r="P42" i="27"/>
  <c r="H42" i="27"/>
  <c r="J42" i="27" s="1"/>
  <c r="P41" i="27"/>
  <c r="H41" i="27"/>
  <c r="J41" i="27" s="1"/>
  <c r="P40" i="27"/>
  <c r="P39" i="27"/>
  <c r="I39" i="27"/>
  <c r="J39" i="27"/>
  <c r="P38" i="27"/>
  <c r="I38" i="27"/>
  <c r="J38" i="27"/>
  <c r="P37" i="27"/>
  <c r="I37" i="27"/>
  <c r="J37" i="27"/>
  <c r="P36" i="27"/>
  <c r="I36" i="27"/>
  <c r="J36" i="27"/>
  <c r="P35" i="27"/>
  <c r="I35" i="27"/>
  <c r="J35" i="27"/>
  <c r="P34" i="27"/>
  <c r="I34" i="27"/>
  <c r="J34" i="27" s="1"/>
  <c r="J29" i="27"/>
  <c r="J28" i="27"/>
  <c r="N26" i="27"/>
  <c r="O26" i="27"/>
  <c r="J26" i="27"/>
  <c r="C17" i="27"/>
  <c r="C16" i="27"/>
  <c r="D40" i="27" s="1"/>
  <c r="C15" i="27"/>
  <c r="D15" i="27" s="1"/>
  <c r="C14" i="27"/>
  <c r="D14" i="27" s="1"/>
  <c r="AD12" i="27"/>
  <c r="AC12" i="27"/>
  <c r="AB12" i="27"/>
  <c r="AA12" i="27"/>
  <c r="Z12" i="27"/>
  <c r="Y12" i="27"/>
  <c r="X12" i="27"/>
  <c r="W12" i="27"/>
  <c r="V12" i="27"/>
  <c r="U12" i="27"/>
  <c r="T12" i="27"/>
  <c r="S12" i="27"/>
  <c r="D10" i="27"/>
  <c r="B10" i="27"/>
  <c r="C10" i="27" s="1"/>
  <c r="C9" i="27"/>
  <c r="C8" i="27"/>
  <c r="A6" i="27"/>
  <c r="A4" i="27"/>
  <c r="L55" i="26"/>
  <c r="L57" i="26"/>
  <c r="P53" i="26"/>
  <c r="I53" i="26"/>
  <c r="J53" i="26"/>
  <c r="N53" i="26"/>
  <c r="O53" i="26"/>
  <c r="P52" i="26"/>
  <c r="I52" i="26"/>
  <c r="J52" i="26"/>
  <c r="P51" i="26"/>
  <c r="I51" i="26"/>
  <c r="J51" i="26"/>
  <c r="P50" i="26"/>
  <c r="I50" i="26"/>
  <c r="J50" i="26" s="1"/>
  <c r="P49" i="26"/>
  <c r="I49" i="26"/>
  <c r="J49" i="26"/>
  <c r="P48" i="26"/>
  <c r="O48" i="26"/>
  <c r="J48" i="26"/>
  <c r="P47" i="26"/>
  <c r="I47" i="26"/>
  <c r="N47" i="26" s="1"/>
  <c r="O47" i="26" s="1"/>
  <c r="P46" i="26"/>
  <c r="I46" i="26"/>
  <c r="J46" i="26"/>
  <c r="P45" i="26"/>
  <c r="J45" i="26"/>
  <c r="P44" i="26"/>
  <c r="I44" i="26"/>
  <c r="J44" i="26" s="1"/>
  <c r="P43" i="26"/>
  <c r="I43" i="26"/>
  <c r="J43" i="26" s="1"/>
  <c r="P42" i="26"/>
  <c r="I42" i="26"/>
  <c r="J42" i="26" s="1"/>
  <c r="I41" i="26"/>
  <c r="J41" i="26"/>
  <c r="N41" i="26"/>
  <c r="O41" i="26"/>
  <c r="P40" i="26"/>
  <c r="I40" i="26"/>
  <c r="J40" i="26"/>
  <c r="P39" i="26"/>
  <c r="H39" i="26"/>
  <c r="J39" i="26"/>
  <c r="P38" i="26"/>
  <c r="P37" i="26"/>
  <c r="O37" i="26"/>
  <c r="J37" i="26"/>
  <c r="P36" i="26"/>
  <c r="O36" i="26"/>
  <c r="J36" i="26"/>
  <c r="P35" i="26"/>
  <c r="O35" i="26"/>
  <c r="J35" i="26"/>
  <c r="P34" i="26"/>
  <c r="O34" i="26"/>
  <c r="J34" i="26"/>
  <c r="P33" i="26"/>
  <c r="I33" i="26"/>
  <c r="J33" i="26"/>
  <c r="P32" i="26"/>
  <c r="I32" i="26"/>
  <c r="J32" i="26"/>
  <c r="P31" i="26"/>
  <c r="I31" i="26"/>
  <c r="J31" i="26"/>
  <c r="P30" i="26"/>
  <c r="I30" i="26"/>
  <c r="J30" i="26"/>
  <c r="P29" i="26"/>
  <c r="I29" i="26"/>
  <c r="J29" i="26"/>
  <c r="P28" i="26"/>
  <c r="I28" i="26"/>
  <c r="J28" i="26"/>
  <c r="P27" i="26"/>
  <c r="I27" i="26"/>
  <c r="J27" i="26"/>
  <c r="J22" i="26"/>
  <c r="N21" i="26"/>
  <c r="O21" i="26"/>
  <c r="J21" i="26"/>
  <c r="C17" i="26"/>
  <c r="D36" i="26" s="1"/>
  <c r="C16" i="26"/>
  <c r="D48" i="26" s="1"/>
  <c r="C15" i="26"/>
  <c r="D28" i="26" s="1"/>
  <c r="N28" i="26" s="1"/>
  <c r="O28" i="26" s="1"/>
  <c r="AD13" i="26"/>
  <c r="AC13" i="26"/>
  <c r="AB13" i="26"/>
  <c r="AA13" i="26"/>
  <c r="Z13" i="26"/>
  <c r="Y13" i="26"/>
  <c r="X13" i="26"/>
  <c r="W13" i="26"/>
  <c r="V13" i="26"/>
  <c r="U13" i="26"/>
  <c r="T13" i="26"/>
  <c r="S13" i="26"/>
  <c r="D11" i="26"/>
  <c r="B11" i="26"/>
  <c r="C11" i="26" s="1"/>
  <c r="C10" i="26"/>
  <c r="C9" i="26"/>
  <c r="A6" i="26"/>
  <c r="A4" i="26"/>
  <c r="L50" i="25"/>
  <c r="L52" i="25"/>
  <c r="P48" i="25"/>
  <c r="I48" i="25"/>
  <c r="J48" i="25"/>
  <c r="N48" i="25"/>
  <c r="O48" i="25"/>
  <c r="P47" i="25"/>
  <c r="I47" i="25"/>
  <c r="J47" i="25"/>
  <c r="P46" i="25"/>
  <c r="I46" i="25"/>
  <c r="J46" i="25"/>
  <c r="P45" i="25"/>
  <c r="I45" i="25"/>
  <c r="J45" i="25" s="1"/>
  <c r="P44" i="25"/>
  <c r="I44" i="25"/>
  <c r="J44" i="25"/>
  <c r="P43" i="25"/>
  <c r="I43" i="25"/>
  <c r="P42" i="25"/>
  <c r="I42" i="25"/>
  <c r="J42" i="25"/>
  <c r="P41" i="25"/>
  <c r="I41" i="25"/>
  <c r="N41" i="25" s="1"/>
  <c r="O41" i="25" s="1"/>
  <c r="P40" i="25"/>
  <c r="I40" i="25"/>
  <c r="J40" i="25"/>
  <c r="P39" i="25"/>
  <c r="I39" i="25"/>
  <c r="J39" i="25" s="1"/>
  <c r="P38" i="25"/>
  <c r="I38" i="25"/>
  <c r="J38" i="25"/>
  <c r="N38" i="25"/>
  <c r="O38" i="25"/>
  <c r="P37" i="25"/>
  <c r="I37" i="25"/>
  <c r="J37" i="25"/>
  <c r="P36" i="25"/>
  <c r="H36" i="25"/>
  <c r="J36" i="25"/>
  <c r="P35" i="25"/>
  <c r="P34" i="25"/>
  <c r="I34" i="25"/>
  <c r="J34" i="25"/>
  <c r="P33" i="25"/>
  <c r="I33" i="25"/>
  <c r="J33" i="25"/>
  <c r="P32" i="25"/>
  <c r="I32" i="25"/>
  <c r="J32" i="25"/>
  <c r="P31" i="25"/>
  <c r="I31" i="25"/>
  <c r="J31" i="25"/>
  <c r="P30" i="25"/>
  <c r="I30" i="25"/>
  <c r="J30" i="25"/>
  <c r="P29" i="25"/>
  <c r="I29" i="25"/>
  <c r="J29" i="25"/>
  <c r="P28" i="25"/>
  <c r="I28" i="25"/>
  <c r="J28" i="25"/>
  <c r="J23" i="25"/>
  <c r="J22" i="25"/>
  <c r="N21" i="25"/>
  <c r="J21" i="25"/>
  <c r="C15" i="25"/>
  <c r="D44" i="25" s="1"/>
  <c r="N44" i="25" s="1"/>
  <c r="O44" i="25" s="1"/>
  <c r="AD13" i="25"/>
  <c r="AC13" i="25"/>
  <c r="AB13" i="25"/>
  <c r="AA13" i="25"/>
  <c r="Z13" i="25"/>
  <c r="Y13" i="25"/>
  <c r="X13" i="25"/>
  <c r="W13" i="25"/>
  <c r="V13" i="25"/>
  <c r="U13" i="25"/>
  <c r="T13" i="25"/>
  <c r="S13" i="25"/>
  <c r="D11" i="25"/>
  <c r="B11" i="25"/>
  <c r="C11" i="25" s="1"/>
  <c r="C10" i="25"/>
  <c r="C9" i="25"/>
  <c r="A6" i="25"/>
  <c r="A4" i="25"/>
  <c r="L47" i="24"/>
  <c r="L49" i="24"/>
  <c r="P45" i="24"/>
  <c r="I45" i="24"/>
  <c r="J45" i="24"/>
  <c r="N45" i="24"/>
  <c r="O45" i="24"/>
  <c r="P44" i="24"/>
  <c r="I44" i="24"/>
  <c r="J44" i="24"/>
  <c r="P43" i="24"/>
  <c r="I43" i="24"/>
  <c r="J43" i="24" s="1"/>
  <c r="N43" i="24" s="1"/>
  <c r="O43" i="24" s="1"/>
  <c r="P42" i="24"/>
  <c r="I42" i="24"/>
  <c r="J42" i="24"/>
  <c r="P41" i="24"/>
  <c r="I41" i="24"/>
  <c r="N41" i="24"/>
  <c r="O41" i="24" s="1"/>
  <c r="P40" i="24"/>
  <c r="I40" i="24"/>
  <c r="J40" i="24" s="1"/>
  <c r="P39" i="24"/>
  <c r="I39" i="24"/>
  <c r="J39" i="24" s="1"/>
  <c r="P38" i="24"/>
  <c r="I38" i="24"/>
  <c r="J38" i="24"/>
  <c r="P37" i="24"/>
  <c r="I37" i="24"/>
  <c r="J37" i="24"/>
  <c r="P36" i="24"/>
  <c r="I36" i="24"/>
  <c r="J36" i="24"/>
  <c r="P35" i="24"/>
  <c r="I35" i="24"/>
  <c r="J35" i="24"/>
  <c r="P34" i="24"/>
  <c r="H34" i="24"/>
  <c r="J34" i="24"/>
  <c r="P33" i="24"/>
  <c r="I33" i="24"/>
  <c r="J33" i="24" s="1"/>
  <c r="N33" i="24" s="1"/>
  <c r="O33" i="24" s="1"/>
  <c r="P32" i="24"/>
  <c r="I32" i="24"/>
  <c r="J32" i="24"/>
  <c r="P31" i="24"/>
  <c r="I31" i="24"/>
  <c r="J31" i="24"/>
  <c r="P30" i="24"/>
  <c r="I30" i="24"/>
  <c r="J30" i="24"/>
  <c r="P29" i="24"/>
  <c r="I29" i="24"/>
  <c r="J29" i="24"/>
  <c r="P28" i="24"/>
  <c r="I28" i="24"/>
  <c r="J28" i="24"/>
  <c r="P27" i="24"/>
  <c r="I27" i="24"/>
  <c r="J27" i="24"/>
  <c r="P26" i="24"/>
  <c r="I26" i="24"/>
  <c r="J26" i="24"/>
  <c r="P25" i="24"/>
  <c r="I25" i="24"/>
  <c r="J25" i="24"/>
  <c r="J20" i="24"/>
  <c r="AD19" i="24"/>
  <c r="AC19" i="24"/>
  <c r="AB19" i="24"/>
  <c r="AA19" i="24"/>
  <c r="Z19" i="24"/>
  <c r="Y19" i="24"/>
  <c r="X19" i="24"/>
  <c r="W19" i="24"/>
  <c r="V19" i="24"/>
  <c r="U19" i="24"/>
  <c r="T19" i="24"/>
  <c r="S19" i="24"/>
  <c r="N19" i="24"/>
  <c r="J19" i="24"/>
  <c r="AD18" i="24"/>
  <c r="AC18" i="24"/>
  <c r="AB18" i="24"/>
  <c r="AA18" i="24"/>
  <c r="Z18" i="24"/>
  <c r="Y18" i="24"/>
  <c r="X18" i="24"/>
  <c r="W18" i="24"/>
  <c r="V18" i="24"/>
  <c r="U18" i="24"/>
  <c r="T18" i="24"/>
  <c r="S18" i="24"/>
  <c r="AD17" i="24"/>
  <c r="AC17" i="24"/>
  <c r="AB17" i="24"/>
  <c r="AA17" i="24"/>
  <c r="Z17" i="24"/>
  <c r="Y17" i="24"/>
  <c r="X17" i="24"/>
  <c r="W17" i="24"/>
  <c r="V17" i="24"/>
  <c r="U17" i="24"/>
  <c r="T17" i="24"/>
  <c r="S17" i="24"/>
  <c r="AD16" i="24"/>
  <c r="AC16" i="24"/>
  <c r="AB16" i="24"/>
  <c r="AA16" i="24"/>
  <c r="Z16" i="24"/>
  <c r="Y16" i="24"/>
  <c r="X16" i="24"/>
  <c r="W16" i="24"/>
  <c r="V16" i="24"/>
  <c r="U16" i="24"/>
  <c r="T16" i="24"/>
  <c r="S16" i="24"/>
  <c r="C15" i="24"/>
  <c r="D20" i="24" s="1"/>
  <c r="C14" i="24"/>
  <c r="D26" i="24" s="1"/>
  <c r="N26" i="24" s="1"/>
  <c r="O26" i="24" s="1"/>
  <c r="D10" i="24"/>
  <c r="B10" i="24"/>
  <c r="C10" i="24" s="1"/>
  <c r="C9" i="24"/>
  <c r="C8" i="24"/>
  <c r="A5" i="24"/>
  <c r="P56" i="23"/>
  <c r="I56" i="23"/>
  <c r="J56" i="23"/>
  <c r="N56" i="23"/>
  <c r="O56" i="23"/>
  <c r="P55" i="23"/>
  <c r="I55" i="23"/>
  <c r="J55" i="23"/>
  <c r="N55" i="23"/>
  <c r="O55" i="23"/>
  <c r="D55" i="23"/>
  <c r="P54" i="23"/>
  <c r="I54" i="23"/>
  <c r="J54" i="23"/>
  <c r="N54" i="23" s="1"/>
  <c r="O54" i="23" s="1"/>
  <c r="P53" i="23"/>
  <c r="I53" i="23"/>
  <c r="J53" i="23"/>
  <c r="P52" i="23"/>
  <c r="J52" i="23"/>
  <c r="D52" i="23"/>
  <c r="L52" i="23" s="1"/>
  <c r="O52" i="23" s="1"/>
  <c r="P51" i="23"/>
  <c r="I51" i="23"/>
  <c r="N51" i="23"/>
  <c r="O51" i="23" s="1"/>
  <c r="P50" i="23"/>
  <c r="I50" i="23"/>
  <c r="J50" i="23" s="1"/>
  <c r="P49" i="23"/>
  <c r="J49" i="23"/>
  <c r="P48" i="23"/>
  <c r="I48" i="23"/>
  <c r="N48" i="23" s="1"/>
  <c r="O48" i="23" s="1"/>
  <c r="P47" i="23"/>
  <c r="I47" i="23"/>
  <c r="J47" i="23" s="1"/>
  <c r="P46" i="23"/>
  <c r="I46" i="23"/>
  <c r="J46" i="23" s="1"/>
  <c r="P45" i="23"/>
  <c r="I45" i="23"/>
  <c r="J45" i="23"/>
  <c r="P44" i="23"/>
  <c r="I44" i="23"/>
  <c r="J44" i="23"/>
  <c r="P43" i="23"/>
  <c r="H43" i="23"/>
  <c r="J43" i="23" s="1"/>
  <c r="P42" i="23"/>
  <c r="P41" i="23"/>
  <c r="J41" i="23"/>
  <c r="D41" i="23"/>
  <c r="L41" i="23" s="1"/>
  <c r="O41" i="23" s="1"/>
  <c r="P40" i="23"/>
  <c r="J40" i="23"/>
  <c r="D40" i="23"/>
  <c r="L40" i="23" s="1"/>
  <c r="O40" i="23" s="1"/>
  <c r="P39" i="23"/>
  <c r="J39" i="23"/>
  <c r="D39" i="23"/>
  <c r="L39" i="23" s="1"/>
  <c r="O39" i="23" s="1"/>
  <c r="P38" i="23"/>
  <c r="I38" i="23"/>
  <c r="J38" i="23"/>
  <c r="P37" i="23"/>
  <c r="I37" i="23"/>
  <c r="J37" i="23"/>
  <c r="P36" i="23"/>
  <c r="I36" i="23"/>
  <c r="J36" i="23"/>
  <c r="P35" i="23"/>
  <c r="I35" i="23"/>
  <c r="J35" i="23"/>
  <c r="P34" i="23"/>
  <c r="I34" i="23"/>
  <c r="J34" i="23"/>
  <c r="P33" i="23"/>
  <c r="I33" i="23"/>
  <c r="J33" i="23"/>
  <c r="P32" i="23"/>
  <c r="I32" i="23"/>
  <c r="J32" i="23"/>
  <c r="P27" i="23"/>
  <c r="I27" i="23"/>
  <c r="P26" i="23"/>
  <c r="I26" i="23"/>
  <c r="I25" i="23"/>
  <c r="N25" i="23"/>
  <c r="O25" i="23"/>
  <c r="D18" i="23"/>
  <c r="D27" i="23" s="1"/>
  <c r="N27" i="23" s="1"/>
  <c r="O27" i="23" s="1"/>
  <c r="D17" i="23"/>
  <c r="AD15" i="23"/>
  <c r="AC15" i="23"/>
  <c r="AB15" i="23"/>
  <c r="AA15" i="23"/>
  <c r="Z15" i="23"/>
  <c r="Y15" i="23"/>
  <c r="X15" i="23"/>
  <c r="W15" i="23"/>
  <c r="V15" i="23"/>
  <c r="U15" i="23"/>
  <c r="T15" i="23"/>
  <c r="S15" i="23"/>
  <c r="AD14" i="23"/>
  <c r="AC14" i="23"/>
  <c r="AB14" i="23"/>
  <c r="AA14" i="23"/>
  <c r="Z14" i="23"/>
  <c r="Y14" i="23"/>
  <c r="X14" i="23"/>
  <c r="W14" i="23"/>
  <c r="V14" i="23"/>
  <c r="U14" i="23"/>
  <c r="T14" i="23"/>
  <c r="S14" i="23"/>
  <c r="AD13" i="23"/>
  <c r="AC13" i="23"/>
  <c r="AB13" i="23"/>
  <c r="AA13" i="23"/>
  <c r="Z13" i="23"/>
  <c r="Y13" i="23"/>
  <c r="X13" i="23"/>
  <c r="W13" i="23"/>
  <c r="V13" i="23"/>
  <c r="U13" i="23"/>
  <c r="T13" i="23"/>
  <c r="S13" i="23"/>
  <c r="D11" i="23"/>
  <c r="B11" i="23"/>
  <c r="C11" i="23" s="1"/>
  <c r="C10" i="23"/>
  <c r="C9" i="23"/>
  <c r="A6" i="23"/>
  <c r="A4" i="23"/>
  <c r="L53" i="22"/>
  <c r="L55" i="22"/>
  <c r="P51" i="22"/>
  <c r="I51" i="22"/>
  <c r="J51" i="22"/>
  <c r="N51" i="22"/>
  <c r="O51" i="22"/>
  <c r="P50" i="22"/>
  <c r="I50" i="22"/>
  <c r="J50" i="22"/>
  <c r="P49" i="22"/>
  <c r="I49" i="22"/>
  <c r="J49" i="22" s="1"/>
  <c r="N49" i="22" s="1"/>
  <c r="O49" i="22" s="1"/>
  <c r="P48" i="22"/>
  <c r="I48" i="22"/>
  <c r="J48" i="22"/>
  <c r="P47" i="22"/>
  <c r="I47" i="22"/>
  <c r="J47" i="22" s="1"/>
  <c r="P46" i="22"/>
  <c r="I46" i="22"/>
  <c r="J46" i="22" s="1"/>
  <c r="P45" i="22"/>
  <c r="I45" i="22"/>
  <c r="J45" i="22" s="1"/>
  <c r="P44" i="22"/>
  <c r="I44" i="22"/>
  <c r="J44" i="22"/>
  <c r="P43" i="22"/>
  <c r="I43" i="22"/>
  <c r="J43" i="22"/>
  <c r="P42" i="22"/>
  <c r="I42" i="22"/>
  <c r="J42" i="22"/>
  <c r="P41" i="22"/>
  <c r="I41" i="22"/>
  <c r="J41" i="22"/>
  <c r="P40" i="22"/>
  <c r="H40" i="22"/>
  <c r="J40" i="22" s="1"/>
  <c r="P39" i="22"/>
  <c r="I39" i="22"/>
  <c r="J39" i="22" s="1"/>
  <c r="N39" i="22" s="1"/>
  <c r="O39" i="22" s="1"/>
  <c r="P38" i="22"/>
  <c r="I38" i="22"/>
  <c r="J38" i="22"/>
  <c r="P37" i="22"/>
  <c r="I37" i="22"/>
  <c r="J37" i="22"/>
  <c r="P36" i="22"/>
  <c r="I36" i="22"/>
  <c r="J36" i="22"/>
  <c r="P35" i="22"/>
  <c r="I35" i="22"/>
  <c r="J35" i="22"/>
  <c r="P34" i="22"/>
  <c r="I34" i="22"/>
  <c r="J34" i="22"/>
  <c r="P33" i="22"/>
  <c r="I33" i="22"/>
  <c r="J33" i="22"/>
  <c r="P32" i="22"/>
  <c r="I32" i="22"/>
  <c r="J32" i="22"/>
  <c r="P31" i="22"/>
  <c r="I31" i="22"/>
  <c r="J31" i="22"/>
  <c r="J26" i="22"/>
  <c r="N25" i="22"/>
  <c r="O25" i="22"/>
  <c r="J25" i="22"/>
  <c r="D17" i="22"/>
  <c r="O58" i="22" s="1"/>
  <c r="D11" i="22"/>
  <c r="B11" i="22"/>
  <c r="C11" i="22" s="1"/>
  <c r="C10" i="22"/>
  <c r="C9" i="22"/>
  <c r="A6" i="22"/>
  <c r="A4" i="22"/>
  <c r="D72" i="21"/>
  <c r="P59" i="21"/>
  <c r="I59" i="21"/>
  <c r="J59" i="21"/>
  <c r="N59" i="21"/>
  <c r="O59" i="21"/>
  <c r="P58" i="21"/>
  <c r="I58" i="21"/>
  <c r="J58" i="21"/>
  <c r="P57" i="21"/>
  <c r="I57" i="21"/>
  <c r="J57" i="21"/>
  <c r="P56" i="21"/>
  <c r="I56" i="21"/>
  <c r="J56" i="21"/>
  <c r="P55" i="21"/>
  <c r="I55" i="21"/>
  <c r="J55" i="21"/>
  <c r="P54" i="21"/>
  <c r="G54" i="21"/>
  <c r="D54" i="21"/>
  <c r="L54" i="21" s="1"/>
  <c r="O54" i="21" s="1"/>
  <c r="P53" i="21"/>
  <c r="I53" i="21"/>
  <c r="P52" i="21"/>
  <c r="I52" i="21"/>
  <c r="J52" i="21"/>
  <c r="P51" i="21"/>
  <c r="J51" i="21"/>
  <c r="P50" i="21"/>
  <c r="J50" i="21"/>
  <c r="P49" i="21"/>
  <c r="I49" i="21"/>
  <c r="N49" i="21"/>
  <c r="O49" i="21" s="1"/>
  <c r="P48" i="21"/>
  <c r="I48" i="21"/>
  <c r="J48" i="21"/>
  <c r="P47" i="21"/>
  <c r="I47" i="21"/>
  <c r="J47" i="21" s="1"/>
  <c r="I46" i="21"/>
  <c r="J46" i="21"/>
  <c r="P45" i="21"/>
  <c r="I45" i="21"/>
  <c r="J45" i="21"/>
  <c r="P44" i="21"/>
  <c r="H44" i="21"/>
  <c r="J44" i="21" s="1"/>
  <c r="P43" i="21"/>
  <c r="H43" i="21"/>
  <c r="J43" i="21" s="1"/>
  <c r="P42" i="21"/>
  <c r="I42" i="21"/>
  <c r="J42" i="21" s="1"/>
  <c r="P41" i="21"/>
  <c r="G41" i="21"/>
  <c r="J41" i="21"/>
  <c r="D41" i="21"/>
  <c r="L41" i="21" s="1"/>
  <c r="O41" i="21" s="1"/>
  <c r="P40" i="21"/>
  <c r="G40" i="21"/>
  <c r="J40" i="21"/>
  <c r="D40" i="21"/>
  <c r="L40" i="21" s="1"/>
  <c r="P39" i="21"/>
  <c r="G39" i="21"/>
  <c r="J39" i="21"/>
  <c r="D39" i="21"/>
  <c r="L39" i="21" s="1"/>
  <c r="O39" i="21" s="1"/>
  <c r="P38" i="21"/>
  <c r="I38" i="21"/>
  <c r="J38" i="21"/>
  <c r="P37" i="21"/>
  <c r="I37" i="21"/>
  <c r="J37" i="21"/>
  <c r="P36" i="21"/>
  <c r="I36" i="21"/>
  <c r="J36" i="21"/>
  <c r="P35" i="21"/>
  <c r="I35" i="21"/>
  <c r="J35" i="21"/>
  <c r="P34" i="21"/>
  <c r="I34" i="21"/>
  <c r="J34" i="21"/>
  <c r="P33" i="21"/>
  <c r="I33" i="21"/>
  <c r="J33" i="21"/>
  <c r="J28" i="21"/>
  <c r="J27" i="21"/>
  <c r="C17" i="21"/>
  <c r="C16" i="21"/>
  <c r="C15" i="21"/>
  <c r="C14" i="21"/>
  <c r="I15" i="21" s="1"/>
  <c r="AD12" i="21"/>
  <c r="AC12" i="21"/>
  <c r="AB12" i="21"/>
  <c r="AA12" i="21"/>
  <c r="Z12" i="21"/>
  <c r="Y12" i="21"/>
  <c r="X12" i="21"/>
  <c r="W12" i="21"/>
  <c r="V12" i="21"/>
  <c r="U12" i="21"/>
  <c r="T12" i="21"/>
  <c r="S12" i="21"/>
  <c r="D10" i="21"/>
  <c r="B10" i="21"/>
  <c r="C10" i="21" s="1"/>
  <c r="C9" i="21"/>
  <c r="C8" i="21"/>
  <c r="A6" i="21"/>
  <c r="A4" i="21"/>
  <c r="D73" i="20"/>
  <c r="P60" i="20"/>
  <c r="I60" i="20"/>
  <c r="J60" i="20"/>
  <c r="N60" i="20"/>
  <c r="O60" i="20"/>
  <c r="P59" i="20"/>
  <c r="I59" i="20"/>
  <c r="J59" i="20"/>
  <c r="P58" i="20"/>
  <c r="I58" i="20"/>
  <c r="J58" i="20"/>
  <c r="P57" i="20"/>
  <c r="I57" i="20"/>
  <c r="J57" i="20"/>
  <c r="P56" i="20"/>
  <c r="I56" i="20"/>
  <c r="J56" i="20"/>
  <c r="P55" i="20"/>
  <c r="G55" i="20"/>
  <c r="J55" i="20"/>
  <c r="D55" i="20"/>
  <c r="L55" i="20" s="1"/>
  <c r="O55" i="20" s="1"/>
  <c r="P54" i="20"/>
  <c r="I54" i="20"/>
  <c r="N54" i="20"/>
  <c r="O54" i="20" s="1"/>
  <c r="P53" i="20"/>
  <c r="I53" i="20"/>
  <c r="J53" i="20" s="1"/>
  <c r="P52" i="20"/>
  <c r="J52" i="20"/>
  <c r="P51" i="20"/>
  <c r="J51" i="20"/>
  <c r="P50" i="20"/>
  <c r="I50" i="20"/>
  <c r="N50" i="20" s="1"/>
  <c r="O50" i="20" s="1"/>
  <c r="P49" i="20"/>
  <c r="I49" i="20"/>
  <c r="J49" i="20"/>
  <c r="P48" i="20"/>
  <c r="I48" i="20"/>
  <c r="J48" i="20" s="1"/>
  <c r="P47" i="20"/>
  <c r="I47" i="20"/>
  <c r="J47" i="20"/>
  <c r="P46" i="20"/>
  <c r="I46" i="20"/>
  <c r="J46" i="20"/>
  <c r="P45" i="20"/>
  <c r="H45" i="20"/>
  <c r="J45" i="20" s="1"/>
  <c r="P44" i="20"/>
  <c r="H44" i="20"/>
  <c r="J44" i="20"/>
  <c r="P43" i="20"/>
  <c r="P42" i="20"/>
  <c r="G42" i="20"/>
  <c r="J42" i="20" s="1"/>
  <c r="D42" i="20"/>
  <c r="P41" i="20"/>
  <c r="G41" i="20"/>
  <c r="D41" i="20"/>
  <c r="L41" i="20" s="1"/>
  <c r="O41" i="20" s="1"/>
  <c r="P40" i="20"/>
  <c r="G40" i="20"/>
  <c r="J40" i="20"/>
  <c r="D40" i="20"/>
  <c r="L40" i="20" s="1"/>
  <c r="O40" i="20" s="1"/>
  <c r="P39" i="20"/>
  <c r="I39" i="20"/>
  <c r="J39" i="20"/>
  <c r="P38" i="20"/>
  <c r="J38" i="20"/>
  <c r="I38" i="20"/>
  <c r="P37" i="20"/>
  <c r="I37" i="20"/>
  <c r="J37" i="20"/>
  <c r="P36" i="20"/>
  <c r="I36" i="20"/>
  <c r="J36" i="20"/>
  <c r="P35" i="20"/>
  <c r="I35" i="20"/>
  <c r="J35" i="20"/>
  <c r="P34" i="20"/>
  <c r="I34" i="20"/>
  <c r="J34" i="20"/>
  <c r="J29" i="20"/>
  <c r="J28" i="20"/>
  <c r="N26" i="20"/>
  <c r="O26" i="20"/>
  <c r="J26" i="20"/>
  <c r="C17" i="20"/>
  <c r="D17" i="20"/>
  <c r="C16" i="20"/>
  <c r="D34" i="20" s="1"/>
  <c r="D51" i="20" s="1"/>
  <c r="O51" i="20" s="1"/>
  <c r="C15" i="20"/>
  <c r="C14" i="20"/>
  <c r="AD12" i="20"/>
  <c r="AC12" i="20"/>
  <c r="AB12" i="20"/>
  <c r="AA12" i="20"/>
  <c r="Z12" i="20"/>
  <c r="Y12" i="20"/>
  <c r="X12" i="20"/>
  <c r="W12" i="20"/>
  <c r="V12" i="20"/>
  <c r="U12" i="20"/>
  <c r="T12" i="20"/>
  <c r="S12" i="20"/>
  <c r="D10" i="20"/>
  <c r="B10" i="20"/>
  <c r="C10" i="20" s="1"/>
  <c r="C9" i="20"/>
  <c r="C8" i="20"/>
  <c r="A6" i="20"/>
  <c r="A4" i="20"/>
  <c r="P60" i="19"/>
  <c r="I60" i="19"/>
  <c r="J60" i="19"/>
  <c r="N60" i="19"/>
  <c r="O60" i="19"/>
  <c r="P59" i="19"/>
  <c r="I59" i="19"/>
  <c r="J59" i="19"/>
  <c r="P58" i="19"/>
  <c r="I58" i="19"/>
  <c r="J58" i="19"/>
  <c r="P57" i="19"/>
  <c r="I57" i="19"/>
  <c r="J57" i="19" s="1"/>
  <c r="P56" i="19"/>
  <c r="I56" i="19"/>
  <c r="J56" i="19"/>
  <c r="P55" i="19"/>
  <c r="G55" i="19"/>
  <c r="J55" i="19"/>
  <c r="D55" i="19"/>
  <c r="L55" i="19" s="1"/>
  <c r="P54" i="19"/>
  <c r="I54" i="19"/>
  <c r="P53" i="19"/>
  <c r="I53" i="19"/>
  <c r="J53" i="19" s="1"/>
  <c r="P52" i="19"/>
  <c r="P51" i="19"/>
  <c r="P50" i="19"/>
  <c r="I50" i="19"/>
  <c r="N50" i="19" s="1"/>
  <c r="O50" i="19" s="1"/>
  <c r="P49" i="19"/>
  <c r="I49" i="19"/>
  <c r="J49" i="19" s="1"/>
  <c r="P48" i="19"/>
  <c r="I48" i="19"/>
  <c r="J48" i="19"/>
  <c r="P47" i="19"/>
  <c r="I47" i="19"/>
  <c r="J47" i="19"/>
  <c r="P46" i="19"/>
  <c r="O46" i="19"/>
  <c r="I46" i="19"/>
  <c r="J46" i="19"/>
  <c r="P45" i="19"/>
  <c r="H45" i="19"/>
  <c r="J45" i="19"/>
  <c r="P44" i="19"/>
  <c r="H44" i="19"/>
  <c r="J44" i="19" s="1"/>
  <c r="P43" i="19"/>
  <c r="P42" i="19"/>
  <c r="G42" i="19"/>
  <c r="J42" i="19"/>
  <c r="D42" i="19"/>
  <c r="P41" i="19"/>
  <c r="G41" i="19"/>
  <c r="D41" i="19"/>
  <c r="L41" i="19" s="1"/>
  <c r="O41" i="19" s="1"/>
  <c r="P40" i="19"/>
  <c r="G40" i="19"/>
  <c r="J40" i="19"/>
  <c r="D40" i="19"/>
  <c r="L40" i="19" s="1"/>
  <c r="O40" i="19" s="1"/>
  <c r="P39" i="19"/>
  <c r="O39" i="19"/>
  <c r="I39" i="19"/>
  <c r="J39" i="19"/>
  <c r="P38" i="19"/>
  <c r="I38" i="19"/>
  <c r="J38" i="19"/>
  <c r="P37" i="19"/>
  <c r="I37" i="19"/>
  <c r="J37" i="19"/>
  <c r="P36" i="19"/>
  <c r="I36" i="19"/>
  <c r="J36" i="19"/>
  <c r="P35" i="19"/>
  <c r="I35" i="19"/>
  <c r="J35" i="19"/>
  <c r="P34" i="19"/>
  <c r="I34" i="19"/>
  <c r="J34" i="19"/>
  <c r="J29" i="19"/>
  <c r="J28" i="19"/>
  <c r="N26" i="19"/>
  <c r="O26" i="19"/>
  <c r="J26" i="19"/>
  <c r="C17" i="19"/>
  <c r="D17" i="19" s="1"/>
  <c r="C16" i="19"/>
  <c r="D34" i="19" s="1"/>
  <c r="D51" i="19" s="1"/>
  <c r="C15" i="19"/>
  <c r="C14" i="19"/>
  <c r="D14" i="19" s="1"/>
  <c r="D10" i="19"/>
  <c r="B10" i="19"/>
  <c r="C10" i="19" s="1"/>
  <c r="C9" i="19"/>
  <c r="C8" i="19"/>
  <c r="A6" i="19"/>
  <c r="P53" i="18"/>
  <c r="I53" i="18"/>
  <c r="J53" i="18"/>
  <c r="N53" i="18"/>
  <c r="O53" i="18"/>
  <c r="P52" i="18"/>
  <c r="I52" i="18"/>
  <c r="J52" i="18"/>
  <c r="P51" i="18"/>
  <c r="I51" i="18"/>
  <c r="J51" i="18"/>
  <c r="P50" i="18"/>
  <c r="I50" i="18"/>
  <c r="J50" i="18"/>
  <c r="P49" i="18"/>
  <c r="I49" i="18"/>
  <c r="J49" i="18"/>
  <c r="P48" i="18"/>
  <c r="G48" i="18"/>
  <c r="J48" i="18"/>
  <c r="P47" i="18"/>
  <c r="I47" i="18"/>
  <c r="J47" i="18" s="1"/>
  <c r="P46" i="18"/>
  <c r="I46" i="18"/>
  <c r="J46" i="18"/>
  <c r="P45" i="18"/>
  <c r="J45" i="18"/>
  <c r="P44" i="18"/>
  <c r="I44" i="18"/>
  <c r="N44" i="18" s="1"/>
  <c r="O44" i="18" s="1"/>
  <c r="P43" i="18"/>
  <c r="I43" i="18"/>
  <c r="J43" i="18"/>
  <c r="P42" i="18"/>
  <c r="I42" i="18"/>
  <c r="J42" i="18"/>
  <c r="I41" i="18"/>
  <c r="J41" i="18"/>
  <c r="N41" i="18"/>
  <c r="O41" i="18"/>
  <c r="P40" i="18"/>
  <c r="I40" i="18"/>
  <c r="J40" i="18"/>
  <c r="P39" i="18"/>
  <c r="H39" i="18"/>
  <c r="J39" i="18"/>
  <c r="P38" i="18"/>
  <c r="P37" i="18"/>
  <c r="G37" i="18"/>
  <c r="J37" i="18" s="1"/>
  <c r="P36" i="18"/>
  <c r="G36" i="18"/>
  <c r="J36" i="18"/>
  <c r="P35" i="18"/>
  <c r="G35" i="18"/>
  <c r="J35" i="18"/>
  <c r="P34" i="18"/>
  <c r="G34" i="18"/>
  <c r="J34" i="18"/>
  <c r="P33" i="18"/>
  <c r="I33" i="18"/>
  <c r="J33" i="18"/>
  <c r="P32" i="18"/>
  <c r="I32" i="18"/>
  <c r="J32" i="18"/>
  <c r="P31" i="18"/>
  <c r="I31" i="18"/>
  <c r="J31" i="18"/>
  <c r="P30" i="18"/>
  <c r="I30" i="18"/>
  <c r="J30" i="18"/>
  <c r="P29" i="18"/>
  <c r="I29" i="18"/>
  <c r="J29" i="18"/>
  <c r="P28" i="18"/>
  <c r="I28" i="18"/>
  <c r="J28" i="18"/>
  <c r="P27" i="18"/>
  <c r="I27" i="18"/>
  <c r="J27" i="18"/>
  <c r="P22" i="18"/>
  <c r="I22" i="18"/>
  <c r="J22" i="18"/>
  <c r="I21" i="18"/>
  <c r="J21" i="18"/>
  <c r="C17" i="18"/>
  <c r="D36" i="18" s="1"/>
  <c r="L36" i="18" s="1"/>
  <c r="O36" i="18" s="1"/>
  <c r="C16" i="18"/>
  <c r="D35" i="18" s="1"/>
  <c r="C15" i="18"/>
  <c r="AD13" i="18"/>
  <c r="AC13" i="18"/>
  <c r="AB13" i="18"/>
  <c r="AA13" i="18"/>
  <c r="Z13" i="18"/>
  <c r="Y13" i="18"/>
  <c r="X13" i="18"/>
  <c r="W13" i="18"/>
  <c r="V13" i="18"/>
  <c r="U13" i="18"/>
  <c r="T13" i="18"/>
  <c r="S13" i="18"/>
  <c r="D11" i="18"/>
  <c r="B11" i="18"/>
  <c r="C11" i="18" s="1"/>
  <c r="C10" i="18"/>
  <c r="C9" i="18"/>
  <c r="A6" i="18"/>
  <c r="A4" i="18"/>
  <c r="P53" i="17"/>
  <c r="I53" i="17"/>
  <c r="J53" i="17"/>
  <c r="N53" i="17"/>
  <c r="O53" i="17"/>
  <c r="P52" i="17"/>
  <c r="I52" i="17"/>
  <c r="J52" i="17"/>
  <c r="P51" i="17"/>
  <c r="I51" i="17"/>
  <c r="J51" i="17"/>
  <c r="P50" i="17"/>
  <c r="I50" i="17"/>
  <c r="J50" i="17"/>
  <c r="P49" i="17"/>
  <c r="I49" i="17"/>
  <c r="J49" i="17"/>
  <c r="P48" i="17"/>
  <c r="G48" i="17"/>
  <c r="J48" i="17"/>
  <c r="P47" i="17"/>
  <c r="I47" i="17"/>
  <c r="N47" i="17"/>
  <c r="O47" i="17" s="1"/>
  <c r="P46" i="17"/>
  <c r="I46" i="17"/>
  <c r="J46" i="17" s="1"/>
  <c r="P45" i="17"/>
  <c r="J45" i="17"/>
  <c r="P44" i="17"/>
  <c r="I44" i="17"/>
  <c r="J44" i="17" s="1"/>
  <c r="P43" i="17"/>
  <c r="I43" i="17"/>
  <c r="J43" i="17"/>
  <c r="P42" i="17"/>
  <c r="I42" i="17"/>
  <c r="J42" i="17"/>
  <c r="I41" i="17"/>
  <c r="J41" i="17"/>
  <c r="N41" i="17"/>
  <c r="O41" i="17"/>
  <c r="P40" i="17"/>
  <c r="I40" i="17"/>
  <c r="J40" i="17"/>
  <c r="P39" i="17"/>
  <c r="H39" i="17"/>
  <c r="J39" i="17" s="1"/>
  <c r="P38" i="17"/>
  <c r="P37" i="17"/>
  <c r="G37" i="17"/>
  <c r="J37" i="17" s="1"/>
  <c r="P36" i="17"/>
  <c r="G36" i="17"/>
  <c r="J36" i="17"/>
  <c r="P35" i="17"/>
  <c r="G35" i="17"/>
  <c r="J35" i="17"/>
  <c r="P34" i="17"/>
  <c r="G34" i="17"/>
  <c r="J34" i="17"/>
  <c r="P33" i="17"/>
  <c r="I33" i="17"/>
  <c r="J33" i="17"/>
  <c r="P32" i="17"/>
  <c r="I32" i="17"/>
  <c r="J32" i="17"/>
  <c r="P31" i="17"/>
  <c r="I31" i="17"/>
  <c r="J31" i="17"/>
  <c r="P30" i="17"/>
  <c r="I30" i="17"/>
  <c r="J30" i="17"/>
  <c r="P29" i="17"/>
  <c r="I29" i="17"/>
  <c r="J29" i="17"/>
  <c r="P28" i="17"/>
  <c r="I28" i="17"/>
  <c r="J28" i="17"/>
  <c r="P27" i="17"/>
  <c r="I27" i="17"/>
  <c r="J27" i="17"/>
  <c r="P22" i="17"/>
  <c r="I22" i="17"/>
  <c r="J22" i="17"/>
  <c r="I21" i="17"/>
  <c r="N21" i="17"/>
  <c r="O21" i="17"/>
  <c r="C17" i="17"/>
  <c r="D36" i="17" s="1"/>
  <c r="L36" i="17" s="1"/>
  <c r="O36" i="17" s="1"/>
  <c r="C16" i="17"/>
  <c r="D37" i="17" s="1"/>
  <c r="C15" i="17"/>
  <c r="D39" i="17" s="1"/>
  <c r="AD13" i="17"/>
  <c r="AC13" i="17"/>
  <c r="AB13" i="17"/>
  <c r="AA13" i="17"/>
  <c r="Z13" i="17"/>
  <c r="Y13" i="17"/>
  <c r="X13" i="17"/>
  <c r="W13" i="17"/>
  <c r="V13" i="17"/>
  <c r="U13" i="17"/>
  <c r="T13" i="17"/>
  <c r="S13" i="17"/>
  <c r="D11" i="17"/>
  <c r="B11" i="17"/>
  <c r="C11" i="17" s="1"/>
  <c r="C10" i="17"/>
  <c r="C9" i="17"/>
  <c r="A6" i="17"/>
  <c r="A4" i="17"/>
  <c r="P53" i="16"/>
  <c r="I53" i="16"/>
  <c r="J53" i="16"/>
  <c r="N53" i="16"/>
  <c r="O53" i="16"/>
  <c r="P52" i="16"/>
  <c r="I52" i="16"/>
  <c r="J52" i="16"/>
  <c r="P51" i="16"/>
  <c r="I51" i="16"/>
  <c r="J51" i="16"/>
  <c r="P50" i="16"/>
  <c r="I50" i="16"/>
  <c r="J50" i="16"/>
  <c r="P49" i="16"/>
  <c r="I49" i="16"/>
  <c r="J49" i="16"/>
  <c r="P48" i="16"/>
  <c r="G48" i="16"/>
  <c r="J48" i="16"/>
  <c r="P47" i="16"/>
  <c r="I47" i="16"/>
  <c r="J47" i="16"/>
  <c r="P46" i="16"/>
  <c r="I46" i="16"/>
  <c r="J46" i="16" s="1"/>
  <c r="P45" i="16"/>
  <c r="J45" i="16"/>
  <c r="P44" i="16"/>
  <c r="I44" i="16"/>
  <c r="N44" i="16" s="1"/>
  <c r="O44" i="16" s="1"/>
  <c r="P43" i="16"/>
  <c r="I43" i="16"/>
  <c r="J43" i="16"/>
  <c r="P42" i="16"/>
  <c r="I42" i="16"/>
  <c r="J42" i="16" s="1"/>
  <c r="I41" i="16"/>
  <c r="J41" i="16"/>
  <c r="N41" i="16"/>
  <c r="O41" i="16"/>
  <c r="P40" i="16"/>
  <c r="I40" i="16"/>
  <c r="J40" i="16"/>
  <c r="P39" i="16"/>
  <c r="H39" i="16"/>
  <c r="J39" i="16"/>
  <c r="P38" i="16"/>
  <c r="P37" i="16"/>
  <c r="G37" i="16"/>
  <c r="J37" i="16" s="1"/>
  <c r="P36" i="16"/>
  <c r="G36" i="16"/>
  <c r="J36" i="16"/>
  <c r="P35" i="16"/>
  <c r="G35" i="16"/>
  <c r="J35" i="16"/>
  <c r="P34" i="16"/>
  <c r="G34" i="16"/>
  <c r="J34" i="16"/>
  <c r="D34" i="16"/>
  <c r="L34" i="16" s="1"/>
  <c r="O34" i="16" s="1"/>
  <c r="P33" i="16"/>
  <c r="I33" i="16"/>
  <c r="J33" i="16"/>
  <c r="P32" i="16"/>
  <c r="I32" i="16"/>
  <c r="J32" i="16"/>
  <c r="P31" i="16"/>
  <c r="I31" i="16"/>
  <c r="J31" i="16"/>
  <c r="P30" i="16"/>
  <c r="I30" i="16"/>
  <c r="J30" i="16"/>
  <c r="P29" i="16"/>
  <c r="I29" i="16"/>
  <c r="J29" i="16"/>
  <c r="P28" i="16"/>
  <c r="I28" i="16"/>
  <c r="J28" i="16"/>
  <c r="P27" i="16"/>
  <c r="I27" i="16"/>
  <c r="J27" i="16" s="1"/>
  <c r="P22" i="16"/>
  <c r="I22" i="16"/>
  <c r="J22" i="16"/>
  <c r="I21" i="16"/>
  <c r="J21" i="16"/>
  <c r="C17" i="16"/>
  <c r="D36" i="16" s="1"/>
  <c r="L36" i="16" s="1"/>
  <c r="O36" i="16" s="1"/>
  <c r="C16" i="16"/>
  <c r="D35" i="16" s="1"/>
  <c r="L35" i="16" s="1"/>
  <c r="C15" i="16"/>
  <c r="D30" i="16" s="1"/>
  <c r="N30" i="16" s="1"/>
  <c r="O30" i="16" s="1"/>
  <c r="AD13" i="16"/>
  <c r="AC13" i="16"/>
  <c r="AB13" i="16"/>
  <c r="AA13" i="16"/>
  <c r="Z13" i="16"/>
  <c r="Y13" i="16"/>
  <c r="X13" i="16"/>
  <c r="W13" i="16"/>
  <c r="V13" i="16"/>
  <c r="U13" i="16"/>
  <c r="T13" i="16"/>
  <c r="S13" i="16"/>
  <c r="D11" i="16"/>
  <c r="B11" i="16"/>
  <c r="C11" i="16" s="1"/>
  <c r="C10" i="16"/>
  <c r="C9" i="16"/>
  <c r="A6" i="16"/>
  <c r="A4" i="16"/>
  <c r="D66" i="15"/>
  <c r="P53" i="15"/>
  <c r="I53" i="15"/>
  <c r="J53" i="15"/>
  <c r="N53" i="15"/>
  <c r="O53" i="15"/>
  <c r="P52" i="15"/>
  <c r="I52" i="15"/>
  <c r="J52" i="15"/>
  <c r="P51" i="15"/>
  <c r="I51" i="15"/>
  <c r="J51" i="15"/>
  <c r="P50" i="15"/>
  <c r="I50" i="15"/>
  <c r="J50" i="15"/>
  <c r="P49" i="15"/>
  <c r="I49" i="15"/>
  <c r="J49" i="15"/>
  <c r="P48" i="15"/>
  <c r="G48" i="15"/>
  <c r="J48" i="15"/>
  <c r="D48" i="15"/>
  <c r="P47" i="15"/>
  <c r="I47" i="15"/>
  <c r="J47" i="15"/>
  <c r="P46" i="15"/>
  <c r="I46" i="15"/>
  <c r="J46" i="15"/>
  <c r="P45" i="15"/>
  <c r="J45" i="15"/>
  <c r="P44" i="15"/>
  <c r="J44" i="15"/>
  <c r="P43" i="15"/>
  <c r="I43" i="15"/>
  <c r="N43" i="15" s="1"/>
  <c r="O43" i="15" s="1"/>
  <c r="P42" i="15"/>
  <c r="I42" i="15"/>
  <c r="J42" i="15"/>
  <c r="P41" i="15"/>
  <c r="I41" i="15"/>
  <c r="J41" i="15" s="1"/>
  <c r="P40" i="15"/>
  <c r="I40" i="15"/>
  <c r="J40" i="15"/>
  <c r="P39" i="15"/>
  <c r="H39" i="15"/>
  <c r="J39" i="15"/>
  <c r="P38" i="15"/>
  <c r="I38" i="15"/>
  <c r="J38" i="15" s="1"/>
  <c r="P37" i="15"/>
  <c r="G37" i="15"/>
  <c r="J37" i="15" s="1"/>
  <c r="D37" i="15"/>
  <c r="P36" i="15"/>
  <c r="G36" i="15"/>
  <c r="J36" i="15"/>
  <c r="D36" i="15"/>
  <c r="L36" i="15" s="1"/>
  <c r="O36" i="15" s="1"/>
  <c r="P35" i="15"/>
  <c r="G35" i="15"/>
  <c r="D35" i="15"/>
  <c r="L35" i="15" s="1"/>
  <c r="P34" i="15"/>
  <c r="I34" i="15"/>
  <c r="J34" i="15"/>
  <c r="P33" i="15"/>
  <c r="I33" i="15"/>
  <c r="J33" i="15"/>
  <c r="P32" i="15"/>
  <c r="I32" i="15"/>
  <c r="J32" i="15"/>
  <c r="P31" i="15"/>
  <c r="I31" i="15"/>
  <c r="J31" i="15"/>
  <c r="P30" i="15"/>
  <c r="I30" i="15"/>
  <c r="J30" i="15"/>
  <c r="P29" i="15"/>
  <c r="I29" i="15"/>
  <c r="J29" i="15"/>
  <c r="J24" i="15"/>
  <c r="N23" i="15"/>
  <c r="O23" i="15"/>
  <c r="J23" i="15"/>
  <c r="C16" i="15"/>
  <c r="D16" i="15" s="1"/>
  <c r="D24" i="15" s="1"/>
  <c r="N24" i="15" s="1"/>
  <c r="N25" i="15" s="1"/>
  <c r="D42" i="15" s="1"/>
  <c r="C15" i="15"/>
  <c r="D15" i="15" s="1"/>
  <c r="C14" i="15"/>
  <c r="AD12" i="15"/>
  <c r="AC12" i="15"/>
  <c r="AB12" i="15"/>
  <c r="AA12" i="15"/>
  <c r="Z12" i="15"/>
  <c r="Y12" i="15"/>
  <c r="X12" i="15"/>
  <c r="W12" i="15"/>
  <c r="V12" i="15"/>
  <c r="U12" i="15"/>
  <c r="T12" i="15"/>
  <c r="S12" i="15"/>
  <c r="D10" i="15"/>
  <c r="B10" i="15"/>
  <c r="C10" i="15" s="1"/>
  <c r="C9" i="15"/>
  <c r="C8" i="15"/>
  <c r="A6" i="15"/>
  <c r="A4" i="15"/>
  <c r="D66" i="14"/>
  <c r="P53" i="14"/>
  <c r="I53" i="14"/>
  <c r="J53" i="14"/>
  <c r="N53" i="14"/>
  <c r="O53" i="14"/>
  <c r="P52" i="14"/>
  <c r="I52" i="14"/>
  <c r="J52" i="14"/>
  <c r="P51" i="14"/>
  <c r="I51" i="14"/>
  <c r="J51" i="14"/>
  <c r="P50" i="14"/>
  <c r="I50" i="14"/>
  <c r="J50" i="14"/>
  <c r="P49" i="14"/>
  <c r="I49" i="14"/>
  <c r="J49" i="14"/>
  <c r="P48" i="14"/>
  <c r="G48" i="14"/>
  <c r="D48" i="14"/>
  <c r="L48" i="14" s="1"/>
  <c r="O48" i="14" s="1"/>
  <c r="P47" i="14"/>
  <c r="I47" i="14"/>
  <c r="J47" i="14" s="1"/>
  <c r="P46" i="14"/>
  <c r="I46" i="14"/>
  <c r="J46" i="14"/>
  <c r="P45" i="14"/>
  <c r="J45" i="14"/>
  <c r="P44" i="14"/>
  <c r="J44" i="14"/>
  <c r="P43" i="14"/>
  <c r="I43" i="14"/>
  <c r="N43" i="14" s="1"/>
  <c r="O43" i="14" s="1"/>
  <c r="P42" i="14"/>
  <c r="I42" i="14"/>
  <c r="J42" i="14"/>
  <c r="P41" i="14"/>
  <c r="I41" i="14"/>
  <c r="J41" i="14"/>
  <c r="P40" i="14"/>
  <c r="I40" i="14"/>
  <c r="J40" i="14"/>
  <c r="P39" i="14"/>
  <c r="H39" i="14"/>
  <c r="J39" i="14"/>
  <c r="P38" i="14"/>
  <c r="P37" i="14"/>
  <c r="G37" i="14"/>
  <c r="J37" i="14" s="1"/>
  <c r="D37" i="14"/>
  <c r="P36" i="14"/>
  <c r="G36" i="14"/>
  <c r="J36" i="14"/>
  <c r="D36" i="14"/>
  <c r="L36" i="14" s="1"/>
  <c r="O36" i="14" s="1"/>
  <c r="P35" i="14"/>
  <c r="G35" i="14"/>
  <c r="J35" i="14"/>
  <c r="D35" i="14"/>
  <c r="L35" i="14" s="1"/>
  <c r="O35" i="14" s="1"/>
  <c r="P34" i="14"/>
  <c r="I34" i="14"/>
  <c r="J34" i="14"/>
  <c r="P33" i="14"/>
  <c r="I33" i="14"/>
  <c r="J33" i="14"/>
  <c r="P32" i="14"/>
  <c r="I32" i="14"/>
  <c r="J32" i="14"/>
  <c r="P31" i="14"/>
  <c r="I31" i="14"/>
  <c r="J31" i="14"/>
  <c r="P30" i="14"/>
  <c r="I30" i="14"/>
  <c r="J30" i="14"/>
  <c r="P29" i="14"/>
  <c r="I29" i="14"/>
  <c r="J29" i="14"/>
  <c r="J24" i="14"/>
  <c r="N23" i="14"/>
  <c r="J23" i="14"/>
  <c r="C16" i="14"/>
  <c r="D38" i="14" s="1"/>
  <c r="C15" i="14"/>
  <c r="D15" i="14" s="1"/>
  <c r="C14" i="14"/>
  <c r="I15" i="14" s="1"/>
  <c r="AD12" i="14"/>
  <c r="AC12" i="14"/>
  <c r="AB12" i="14"/>
  <c r="AA12" i="14"/>
  <c r="Z12" i="14"/>
  <c r="Y12" i="14"/>
  <c r="X12" i="14"/>
  <c r="W12" i="14"/>
  <c r="V12" i="14"/>
  <c r="U12" i="14"/>
  <c r="T12" i="14"/>
  <c r="S12" i="14"/>
  <c r="D10" i="14"/>
  <c r="B10" i="14"/>
  <c r="C10" i="14" s="1"/>
  <c r="C9" i="14"/>
  <c r="C8" i="14"/>
  <c r="A6" i="14"/>
  <c r="A4" i="14"/>
  <c r="P53" i="13"/>
  <c r="I53" i="13"/>
  <c r="J53" i="13"/>
  <c r="N53" i="13"/>
  <c r="O53" i="13"/>
  <c r="P52" i="13"/>
  <c r="I52" i="13"/>
  <c r="J52" i="13"/>
  <c r="P51" i="13"/>
  <c r="I51" i="13"/>
  <c r="J51" i="13"/>
  <c r="P50" i="13"/>
  <c r="I50" i="13"/>
  <c r="J50" i="13"/>
  <c r="P49" i="13"/>
  <c r="I49" i="13"/>
  <c r="J49" i="13"/>
  <c r="P48" i="13"/>
  <c r="G48" i="13"/>
  <c r="J48" i="13"/>
  <c r="P47" i="13"/>
  <c r="I47" i="13"/>
  <c r="N47" i="13"/>
  <c r="O47" i="13" s="1"/>
  <c r="P46" i="13"/>
  <c r="I46" i="13"/>
  <c r="J46" i="13" s="1"/>
  <c r="P45" i="13"/>
  <c r="J45" i="13"/>
  <c r="P44" i="13"/>
  <c r="I44" i="13"/>
  <c r="N44" i="13" s="1"/>
  <c r="O44" i="13" s="1"/>
  <c r="P43" i="13"/>
  <c r="I43" i="13"/>
  <c r="J43" i="13" s="1"/>
  <c r="P42" i="13"/>
  <c r="I42" i="13"/>
  <c r="J42" i="13"/>
  <c r="I41" i="13"/>
  <c r="J41" i="13"/>
  <c r="N41" i="13"/>
  <c r="O41" i="13"/>
  <c r="P40" i="13"/>
  <c r="I40" i="13"/>
  <c r="J40" i="13"/>
  <c r="P39" i="13"/>
  <c r="H39" i="13"/>
  <c r="J39" i="13"/>
  <c r="P38" i="13"/>
  <c r="P37" i="13"/>
  <c r="G37" i="13"/>
  <c r="J37" i="13" s="1"/>
  <c r="P36" i="13"/>
  <c r="G36" i="13"/>
  <c r="J36" i="13"/>
  <c r="P35" i="13"/>
  <c r="G35" i="13"/>
  <c r="J35" i="13"/>
  <c r="P34" i="13"/>
  <c r="G34" i="13"/>
  <c r="J34" i="13"/>
  <c r="P33" i="13"/>
  <c r="I33" i="13"/>
  <c r="J33" i="13"/>
  <c r="P32" i="13"/>
  <c r="I32" i="13"/>
  <c r="J32" i="13"/>
  <c r="P31" i="13"/>
  <c r="I31" i="13"/>
  <c r="J31" i="13"/>
  <c r="P30" i="13"/>
  <c r="I30" i="13"/>
  <c r="J30" i="13"/>
  <c r="P29" i="13"/>
  <c r="I29" i="13"/>
  <c r="J29" i="13"/>
  <c r="P28" i="13"/>
  <c r="I28" i="13"/>
  <c r="J28" i="13"/>
  <c r="P27" i="13"/>
  <c r="I27" i="13"/>
  <c r="J27" i="13"/>
  <c r="J22" i="13"/>
  <c r="N21" i="13"/>
  <c r="J21" i="13"/>
  <c r="C17" i="13"/>
  <c r="C16" i="13"/>
  <c r="D35" i="13" s="1"/>
  <c r="L35" i="13" s="1"/>
  <c r="O35" i="13" s="1"/>
  <c r="C15" i="13"/>
  <c r="D49" i="13" s="1"/>
  <c r="N49" i="13" s="1"/>
  <c r="O49" i="13" s="1"/>
  <c r="AD13" i="13"/>
  <c r="AC13" i="13"/>
  <c r="AB13" i="13"/>
  <c r="AA13" i="13"/>
  <c r="Z13" i="13"/>
  <c r="Y13" i="13"/>
  <c r="X13" i="13"/>
  <c r="W13" i="13"/>
  <c r="V13" i="13"/>
  <c r="U13" i="13"/>
  <c r="T13" i="13"/>
  <c r="S13" i="13"/>
  <c r="D11" i="13"/>
  <c r="B11" i="13"/>
  <c r="C11" i="13" s="1"/>
  <c r="C10" i="13"/>
  <c r="C9" i="13"/>
  <c r="A6" i="13"/>
  <c r="A4" i="13"/>
  <c r="P51" i="12"/>
  <c r="I51" i="12"/>
  <c r="J51" i="12"/>
  <c r="N51" i="12"/>
  <c r="O51" i="12"/>
  <c r="P50" i="12"/>
  <c r="I50" i="12"/>
  <c r="J50" i="12"/>
  <c r="D50" i="12"/>
  <c r="N50" i="12"/>
  <c r="O50" i="12"/>
  <c r="P49" i="12"/>
  <c r="I49" i="12"/>
  <c r="J49" i="12"/>
  <c r="P48" i="12"/>
  <c r="I48" i="12"/>
  <c r="J48" i="12"/>
  <c r="P47" i="12"/>
  <c r="I47" i="12"/>
  <c r="J47" i="12"/>
  <c r="P46" i="12"/>
  <c r="G46" i="12"/>
  <c r="D46" i="12"/>
  <c r="L46" i="12" s="1"/>
  <c r="O46" i="12" s="1"/>
  <c r="P45" i="12"/>
  <c r="N45" i="12"/>
  <c r="O45" i="12"/>
  <c r="I45" i="12"/>
  <c r="J45" i="12"/>
  <c r="P44" i="12"/>
  <c r="I44" i="12"/>
  <c r="J44" i="12"/>
  <c r="P43" i="12"/>
  <c r="J43" i="12"/>
  <c r="P42" i="12"/>
  <c r="J42" i="12"/>
  <c r="P41" i="12"/>
  <c r="I41" i="12"/>
  <c r="N41" i="12" s="1"/>
  <c r="O41" i="12" s="1"/>
  <c r="P40" i="12"/>
  <c r="I40" i="12"/>
  <c r="J40" i="12"/>
  <c r="P39" i="12"/>
  <c r="I39" i="12"/>
  <c r="J39" i="12"/>
  <c r="P38" i="12"/>
  <c r="I38" i="12"/>
  <c r="J38" i="12"/>
  <c r="N38" i="12"/>
  <c r="O38" i="12"/>
  <c r="P37" i="12"/>
  <c r="I37" i="12"/>
  <c r="J37" i="12"/>
  <c r="P36" i="12"/>
  <c r="H36" i="12"/>
  <c r="J36" i="12"/>
  <c r="P35" i="12"/>
  <c r="I35" i="12"/>
  <c r="J35" i="12" s="1"/>
  <c r="P34" i="12"/>
  <c r="G34" i="12"/>
  <c r="D34" i="12"/>
  <c r="P33" i="12"/>
  <c r="G33" i="12"/>
  <c r="J33" i="12"/>
  <c r="D33" i="12"/>
  <c r="L33" i="12"/>
  <c r="O33" i="12"/>
  <c r="P32" i="12"/>
  <c r="G32" i="12"/>
  <c r="D32" i="12"/>
  <c r="L32" i="12" s="1"/>
  <c r="O32" i="12" s="1"/>
  <c r="P31" i="12"/>
  <c r="G31" i="12"/>
  <c r="J31" i="12"/>
  <c r="D31" i="12"/>
  <c r="L31" i="12" s="1"/>
  <c r="O31" i="12" s="1"/>
  <c r="P30" i="12"/>
  <c r="I30" i="12"/>
  <c r="J30" i="12"/>
  <c r="P29" i="12"/>
  <c r="I29" i="12"/>
  <c r="J29" i="12"/>
  <c r="P28" i="12"/>
  <c r="I28" i="12"/>
  <c r="J28" i="12"/>
  <c r="P27" i="12"/>
  <c r="I27" i="12"/>
  <c r="J27" i="12"/>
  <c r="P26" i="12"/>
  <c r="I26" i="12"/>
  <c r="J26" i="12"/>
  <c r="P25" i="12"/>
  <c r="I25" i="12"/>
  <c r="J25" i="12"/>
  <c r="J20" i="12"/>
  <c r="N19" i="12"/>
  <c r="J19" i="12"/>
  <c r="C15" i="12"/>
  <c r="D35" i="12" s="1"/>
  <c r="AD13" i="12"/>
  <c r="AC13" i="12"/>
  <c r="AB13" i="12"/>
  <c r="AA13" i="12"/>
  <c r="Z13" i="12"/>
  <c r="Y13" i="12"/>
  <c r="X13" i="12"/>
  <c r="W13" i="12"/>
  <c r="V13" i="12"/>
  <c r="U13" i="12"/>
  <c r="T13" i="12"/>
  <c r="S13" i="12"/>
  <c r="D11" i="12"/>
  <c r="B11" i="12"/>
  <c r="C11" i="12" s="1"/>
  <c r="C10" i="12"/>
  <c r="C9" i="12"/>
  <c r="A5" i="12"/>
  <c r="A4" i="12"/>
  <c r="P53" i="11"/>
  <c r="I53" i="11"/>
  <c r="J53" i="11"/>
  <c r="N53" i="11"/>
  <c r="O53" i="11"/>
  <c r="P52" i="11"/>
  <c r="I52" i="11"/>
  <c r="J52" i="11"/>
  <c r="P51" i="11"/>
  <c r="I51" i="11"/>
  <c r="J51" i="11"/>
  <c r="P50" i="11"/>
  <c r="I50" i="11"/>
  <c r="J50" i="11" s="1"/>
  <c r="P49" i="11"/>
  <c r="I49" i="11"/>
  <c r="J49" i="11"/>
  <c r="P48" i="11"/>
  <c r="G48" i="11"/>
  <c r="J48" i="11"/>
  <c r="P47" i="11"/>
  <c r="I47" i="11"/>
  <c r="N47" i="11"/>
  <c r="O47" i="11" s="1"/>
  <c r="P46" i="11"/>
  <c r="I46" i="11"/>
  <c r="J46" i="11" s="1"/>
  <c r="P45" i="11"/>
  <c r="J45" i="11"/>
  <c r="P44" i="11"/>
  <c r="I44" i="11"/>
  <c r="N44" i="11" s="1"/>
  <c r="O44" i="11" s="1"/>
  <c r="P43" i="11"/>
  <c r="I43" i="11"/>
  <c r="J43" i="11"/>
  <c r="P42" i="11"/>
  <c r="I42" i="11"/>
  <c r="J42" i="11"/>
  <c r="I41" i="11"/>
  <c r="J41" i="11"/>
  <c r="N41" i="11"/>
  <c r="O41" i="11"/>
  <c r="P40" i="11"/>
  <c r="I40" i="11"/>
  <c r="J40" i="11"/>
  <c r="P39" i="11"/>
  <c r="H39" i="11"/>
  <c r="J39" i="11"/>
  <c r="P38" i="11"/>
  <c r="P37" i="11"/>
  <c r="G37" i="11"/>
  <c r="J37" i="11"/>
  <c r="P36" i="11"/>
  <c r="G36" i="11"/>
  <c r="J36" i="11"/>
  <c r="P35" i="11"/>
  <c r="G35" i="11"/>
  <c r="J35" i="11"/>
  <c r="P34" i="11"/>
  <c r="G34" i="11"/>
  <c r="P33" i="11"/>
  <c r="I33" i="11"/>
  <c r="J33" i="11"/>
  <c r="P32" i="11"/>
  <c r="I32" i="11"/>
  <c r="J32" i="11"/>
  <c r="P31" i="11"/>
  <c r="I31" i="11"/>
  <c r="J31" i="11"/>
  <c r="P30" i="11"/>
  <c r="I30" i="11"/>
  <c r="J30" i="11"/>
  <c r="P29" i="11"/>
  <c r="I29" i="11"/>
  <c r="J29" i="11"/>
  <c r="P28" i="11"/>
  <c r="I28" i="11"/>
  <c r="J28" i="11"/>
  <c r="P27" i="11"/>
  <c r="I27" i="11"/>
  <c r="J27" i="11"/>
  <c r="J22" i="11"/>
  <c r="N21" i="11"/>
  <c r="J21" i="11"/>
  <c r="C17" i="11"/>
  <c r="D36" i="11"/>
  <c r="C16" i="11"/>
  <c r="D34" i="11" s="1"/>
  <c r="L34" i="11" s="1"/>
  <c r="C15" i="11"/>
  <c r="D45" i="11" s="1"/>
  <c r="O45" i="11" s="1"/>
  <c r="AD13" i="11"/>
  <c r="AC13" i="11"/>
  <c r="AB13" i="11"/>
  <c r="AA13" i="11"/>
  <c r="Z13" i="11"/>
  <c r="Y13" i="11"/>
  <c r="X13" i="11"/>
  <c r="W13" i="11"/>
  <c r="V13" i="11"/>
  <c r="U13" i="11"/>
  <c r="T13" i="11"/>
  <c r="S13" i="11"/>
  <c r="D11" i="11"/>
  <c r="B11" i="11"/>
  <c r="C11" i="11" s="1"/>
  <c r="C10" i="11"/>
  <c r="C9" i="11"/>
  <c r="A6" i="11"/>
  <c r="A4" i="11"/>
  <c r="P52" i="10"/>
  <c r="I52" i="10"/>
  <c r="J52" i="10"/>
  <c r="N52" i="10"/>
  <c r="O52" i="10"/>
  <c r="P51" i="10"/>
  <c r="I51" i="10"/>
  <c r="J51" i="10"/>
  <c r="P50" i="10"/>
  <c r="I50" i="10"/>
  <c r="J50" i="10"/>
  <c r="P49" i="10"/>
  <c r="I49" i="10"/>
  <c r="J49" i="10" s="1"/>
  <c r="P48" i="10"/>
  <c r="I48" i="10"/>
  <c r="J48" i="10"/>
  <c r="P47" i="10"/>
  <c r="G47" i="10"/>
  <c r="D47" i="10"/>
  <c r="L47" i="10" s="1"/>
  <c r="O47" i="10" s="1"/>
  <c r="P46" i="10"/>
  <c r="I46" i="10"/>
  <c r="N46" i="10"/>
  <c r="O46" i="10" s="1"/>
  <c r="P45" i="10"/>
  <c r="I45" i="10"/>
  <c r="J45" i="10" s="1"/>
  <c r="P44" i="10"/>
  <c r="J44" i="10"/>
  <c r="P43" i="10"/>
  <c r="I43" i="10"/>
  <c r="N43" i="10"/>
  <c r="O43" i="10" s="1"/>
  <c r="P42" i="10"/>
  <c r="I42" i="10"/>
  <c r="J42" i="10" s="1"/>
  <c r="P41" i="10"/>
  <c r="I41" i="10"/>
  <c r="J41" i="10"/>
  <c r="P40" i="10"/>
  <c r="I40" i="10"/>
  <c r="J40" i="10"/>
  <c r="N40" i="10"/>
  <c r="O40" i="10"/>
  <c r="P39" i="10"/>
  <c r="I39" i="10"/>
  <c r="J39" i="10"/>
  <c r="P38" i="10"/>
  <c r="H38" i="10"/>
  <c r="J38" i="10"/>
  <c r="P37" i="10"/>
  <c r="P36" i="10"/>
  <c r="G36" i="10"/>
  <c r="J36" i="10"/>
  <c r="D36" i="10"/>
  <c r="L36" i="10" s="1"/>
  <c r="O36" i="10" s="1"/>
  <c r="P35" i="10"/>
  <c r="G35" i="10"/>
  <c r="J35" i="10"/>
  <c r="D35" i="10"/>
  <c r="P34" i="10"/>
  <c r="G34" i="10"/>
  <c r="J34" i="10"/>
  <c r="D34" i="10"/>
  <c r="L34" i="10" s="1"/>
  <c r="P33" i="10"/>
  <c r="I33" i="10"/>
  <c r="J33" i="10"/>
  <c r="P32" i="10"/>
  <c r="I32" i="10"/>
  <c r="J32" i="10"/>
  <c r="P31" i="10"/>
  <c r="I31" i="10"/>
  <c r="J31" i="10"/>
  <c r="P30" i="10"/>
  <c r="I30" i="10"/>
  <c r="J30" i="10"/>
  <c r="P29" i="10"/>
  <c r="I29" i="10"/>
  <c r="J29" i="10"/>
  <c r="P28" i="10"/>
  <c r="I28" i="10"/>
  <c r="J28" i="10"/>
  <c r="P27" i="10"/>
  <c r="I27" i="10"/>
  <c r="J27" i="10"/>
  <c r="J22" i="10"/>
  <c r="N21" i="10"/>
  <c r="O21" i="10"/>
  <c r="J21" i="10"/>
  <c r="C15" i="10"/>
  <c r="D44" i="10" s="1"/>
  <c r="O44" i="10" s="1"/>
  <c r="AD13" i="10"/>
  <c r="AC13" i="10"/>
  <c r="AB13" i="10"/>
  <c r="AA13" i="10"/>
  <c r="Z13" i="10"/>
  <c r="Y13" i="10"/>
  <c r="X13" i="10"/>
  <c r="W13" i="10"/>
  <c r="V13" i="10"/>
  <c r="U13" i="10"/>
  <c r="T13" i="10"/>
  <c r="S13" i="10"/>
  <c r="D11" i="10"/>
  <c r="B11" i="10"/>
  <c r="C11" i="10" s="1"/>
  <c r="C10" i="10"/>
  <c r="C9" i="10"/>
  <c r="A6" i="10"/>
  <c r="A4" i="10"/>
  <c r="P56" i="9"/>
  <c r="I56" i="9"/>
  <c r="J56" i="9"/>
  <c r="N56" i="9"/>
  <c r="O56" i="9"/>
  <c r="P55" i="9"/>
  <c r="I55" i="9"/>
  <c r="J55" i="9"/>
  <c r="P54" i="9"/>
  <c r="I54" i="9"/>
  <c r="J54" i="9" s="1"/>
  <c r="N54" i="9" s="1"/>
  <c r="O54" i="9" s="1"/>
  <c r="P53" i="9"/>
  <c r="I53" i="9"/>
  <c r="J53" i="9"/>
  <c r="P52" i="9"/>
  <c r="G52" i="9"/>
  <c r="J52" i="9"/>
  <c r="D52" i="9"/>
  <c r="L52" i="9" s="1"/>
  <c r="O52" i="9" s="1"/>
  <c r="P51" i="9"/>
  <c r="I51" i="9"/>
  <c r="N51" i="9"/>
  <c r="O51" i="9" s="1"/>
  <c r="P50" i="9"/>
  <c r="I50" i="9"/>
  <c r="J50" i="9" s="1"/>
  <c r="P49" i="9"/>
  <c r="J49" i="9"/>
  <c r="P48" i="9"/>
  <c r="I48" i="9"/>
  <c r="N48" i="9" s="1"/>
  <c r="O48" i="9" s="1"/>
  <c r="P47" i="9"/>
  <c r="I47" i="9"/>
  <c r="J47" i="9" s="1"/>
  <c r="P46" i="9"/>
  <c r="I46" i="9"/>
  <c r="J46" i="9"/>
  <c r="P45" i="9"/>
  <c r="I45" i="9"/>
  <c r="J45" i="9"/>
  <c r="P44" i="9"/>
  <c r="I44" i="9"/>
  <c r="J44" i="9"/>
  <c r="P43" i="9"/>
  <c r="H43" i="9"/>
  <c r="J43" i="9"/>
  <c r="P42" i="9"/>
  <c r="I42" i="9"/>
  <c r="J42" i="9" s="1"/>
  <c r="N42" i="9" s="1"/>
  <c r="O42" i="9" s="1"/>
  <c r="P41" i="9"/>
  <c r="G41" i="9"/>
  <c r="J41" i="9" s="1"/>
  <c r="D41" i="9"/>
  <c r="P40" i="9"/>
  <c r="G40" i="9"/>
  <c r="J40" i="9"/>
  <c r="D40" i="9"/>
  <c r="L40" i="9" s="1"/>
  <c r="O40" i="9" s="1"/>
  <c r="P39" i="9"/>
  <c r="G39" i="9"/>
  <c r="J39" i="9"/>
  <c r="D39" i="9"/>
  <c r="L39" i="9" s="1"/>
  <c r="P38" i="9"/>
  <c r="I38" i="9"/>
  <c r="J38" i="9"/>
  <c r="P37" i="9"/>
  <c r="I37" i="9"/>
  <c r="J37" i="9"/>
  <c r="P36" i="9"/>
  <c r="I36" i="9"/>
  <c r="J36" i="9"/>
  <c r="P35" i="9"/>
  <c r="I35" i="9"/>
  <c r="J35" i="9"/>
  <c r="P34" i="9"/>
  <c r="I34" i="9"/>
  <c r="J34" i="9"/>
  <c r="P33" i="9"/>
  <c r="I33" i="9"/>
  <c r="J33" i="9"/>
  <c r="P32" i="9"/>
  <c r="I32" i="9"/>
  <c r="J32" i="9"/>
  <c r="J27" i="9"/>
  <c r="J26" i="9"/>
  <c r="N25" i="9"/>
  <c r="O25" i="9"/>
  <c r="J25" i="9"/>
  <c r="D18" i="9"/>
  <c r="D27" i="9" s="1"/>
  <c r="N27" i="9" s="1"/>
  <c r="D17" i="9"/>
  <c r="D11" i="9"/>
  <c r="B11" i="9"/>
  <c r="C11" i="9" s="1"/>
  <c r="C10" i="9"/>
  <c r="C9" i="9"/>
  <c r="A6" i="9"/>
  <c r="A4" i="9"/>
  <c r="P50" i="8"/>
  <c r="I50" i="8"/>
  <c r="J50" i="8"/>
  <c r="N50" i="8"/>
  <c r="O50" i="8"/>
  <c r="P49" i="8"/>
  <c r="I49" i="8"/>
  <c r="J49" i="8"/>
  <c r="P48" i="8"/>
  <c r="I48" i="8"/>
  <c r="J48" i="8"/>
  <c r="N48" i="8" s="1"/>
  <c r="O48" i="8" s="1"/>
  <c r="P47" i="8"/>
  <c r="I47" i="8"/>
  <c r="J47" i="8"/>
  <c r="P46" i="8"/>
  <c r="G46" i="8"/>
  <c r="J46" i="8"/>
  <c r="D46" i="8"/>
  <c r="P45" i="8"/>
  <c r="I45" i="8"/>
  <c r="P44" i="8"/>
  <c r="I44" i="8"/>
  <c r="J44" i="8" s="1"/>
  <c r="P43" i="8"/>
  <c r="J43" i="8"/>
  <c r="P42" i="8"/>
  <c r="I42" i="8"/>
  <c r="J42" i="8"/>
  <c r="P41" i="8"/>
  <c r="I41" i="8"/>
  <c r="J41" i="8"/>
  <c r="P40" i="8"/>
  <c r="I40" i="8"/>
  <c r="J40" i="8"/>
  <c r="P39" i="8"/>
  <c r="I39" i="8"/>
  <c r="J39" i="8"/>
  <c r="P38" i="8"/>
  <c r="I38" i="8"/>
  <c r="J38" i="8"/>
  <c r="P37" i="8"/>
  <c r="H37" i="8"/>
  <c r="J37" i="8" s="1"/>
  <c r="P36" i="8"/>
  <c r="I36" i="8"/>
  <c r="J36" i="8"/>
  <c r="N36" i="8" s="1"/>
  <c r="O36" i="8" s="1"/>
  <c r="P35" i="8"/>
  <c r="G35" i="8"/>
  <c r="J35" i="8" s="1"/>
  <c r="D35" i="8"/>
  <c r="P34" i="8"/>
  <c r="G34" i="8"/>
  <c r="J34" i="8"/>
  <c r="D34" i="8"/>
  <c r="P33" i="8"/>
  <c r="G33" i="8"/>
  <c r="J33" i="8"/>
  <c r="D33" i="8"/>
  <c r="P32" i="8"/>
  <c r="G32" i="8"/>
  <c r="J32" i="8"/>
  <c r="D32" i="8"/>
  <c r="L32" i="8" s="1"/>
  <c r="O32" i="8" s="1"/>
  <c r="P31" i="8"/>
  <c r="I31" i="8"/>
  <c r="J31" i="8"/>
  <c r="P30" i="8"/>
  <c r="I30" i="8"/>
  <c r="J30" i="8"/>
  <c r="P29" i="8"/>
  <c r="I29" i="8"/>
  <c r="J29" i="8"/>
  <c r="P28" i="8"/>
  <c r="I28" i="8"/>
  <c r="J28" i="8"/>
  <c r="P27" i="8"/>
  <c r="I27" i="8"/>
  <c r="J27" i="8"/>
  <c r="P26" i="8"/>
  <c r="I26" i="8"/>
  <c r="J26" i="8"/>
  <c r="P25" i="8"/>
  <c r="I25" i="8"/>
  <c r="J25" i="8"/>
  <c r="J20" i="8"/>
  <c r="N19" i="8"/>
  <c r="J19" i="8"/>
  <c r="AD15" i="8"/>
  <c r="AC15" i="8"/>
  <c r="AB15" i="8"/>
  <c r="AA15" i="8"/>
  <c r="Z15" i="8"/>
  <c r="Y15" i="8"/>
  <c r="X15" i="8"/>
  <c r="W15" i="8"/>
  <c r="V15" i="8"/>
  <c r="U15" i="8"/>
  <c r="T15" i="8"/>
  <c r="S15" i="8"/>
  <c r="C15" i="8"/>
  <c r="D38" i="8" s="1"/>
  <c r="N38" i="8" s="1"/>
  <c r="O38" i="8" s="1"/>
  <c r="D11" i="8"/>
  <c r="B11" i="8"/>
  <c r="C11" i="8" s="1"/>
  <c r="C10" i="8"/>
  <c r="C9" i="8"/>
  <c r="A6" i="8"/>
  <c r="A4" i="8"/>
  <c r="P56" i="7"/>
  <c r="I56" i="7"/>
  <c r="J56" i="7"/>
  <c r="N56" i="7"/>
  <c r="O56" i="7"/>
  <c r="P55" i="7"/>
  <c r="I55" i="7"/>
  <c r="J55" i="7"/>
  <c r="N55" i="7"/>
  <c r="O55" i="7"/>
  <c r="D55" i="7"/>
  <c r="P54" i="7"/>
  <c r="I54" i="7"/>
  <c r="J54" i="7" s="1"/>
  <c r="N54" i="7" s="1"/>
  <c r="O54" i="7" s="1"/>
  <c r="P53" i="7"/>
  <c r="I53" i="7"/>
  <c r="J53" i="7"/>
  <c r="P52" i="7"/>
  <c r="G52" i="7"/>
  <c r="J52" i="7"/>
  <c r="D52" i="7"/>
  <c r="L52" i="7" s="1"/>
  <c r="O52" i="7" s="1"/>
  <c r="P51" i="7"/>
  <c r="I51" i="7"/>
  <c r="P50" i="7"/>
  <c r="I50" i="7"/>
  <c r="J50" i="7"/>
  <c r="P49" i="7"/>
  <c r="J49" i="7"/>
  <c r="P48" i="7"/>
  <c r="I48" i="7"/>
  <c r="N48" i="7" s="1"/>
  <c r="O48" i="7" s="1"/>
  <c r="P47" i="7"/>
  <c r="I47" i="7"/>
  <c r="J47" i="7"/>
  <c r="P46" i="7"/>
  <c r="I46" i="7"/>
  <c r="J46" i="7"/>
  <c r="P45" i="7"/>
  <c r="I45" i="7"/>
  <c r="J45" i="7"/>
  <c r="P44" i="7"/>
  <c r="I44" i="7"/>
  <c r="J44" i="7"/>
  <c r="P43" i="7"/>
  <c r="H43" i="7"/>
  <c r="J43" i="7"/>
  <c r="P42" i="7"/>
  <c r="I42" i="7"/>
  <c r="J42" i="7"/>
  <c r="N42" i="7" s="1"/>
  <c r="O42" i="7" s="1"/>
  <c r="P41" i="7"/>
  <c r="G41" i="7"/>
  <c r="J41" i="7" s="1"/>
  <c r="D41" i="7"/>
  <c r="P40" i="7"/>
  <c r="G40" i="7"/>
  <c r="J40" i="7"/>
  <c r="D40" i="7"/>
  <c r="L40" i="7" s="1"/>
  <c r="O40" i="7" s="1"/>
  <c r="P39" i="7"/>
  <c r="G39" i="7"/>
  <c r="D39" i="7"/>
  <c r="L39" i="7" s="1"/>
  <c r="P38" i="7"/>
  <c r="I38" i="7"/>
  <c r="J38" i="7"/>
  <c r="P37" i="7"/>
  <c r="I37" i="7"/>
  <c r="J37" i="7"/>
  <c r="P36" i="7"/>
  <c r="I36" i="7"/>
  <c r="J36" i="7"/>
  <c r="P35" i="7"/>
  <c r="I35" i="7"/>
  <c r="J35" i="7"/>
  <c r="P34" i="7"/>
  <c r="I34" i="7"/>
  <c r="J34" i="7"/>
  <c r="P33" i="7"/>
  <c r="I33" i="7"/>
  <c r="J33" i="7"/>
  <c r="P32" i="7"/>
  <c r="I32" i="7"/>
  <c r="J32" i="7"/>
  <c r="P27" i="7"/>
  <c r="I27" i="7"/>
  <c r="P26" i="7"/>
  <c r="I26" i="7"/>
  <c r="I25" i="7"/>
  <c r="J25" i="7"/>
  <c r="D18" i="7"/>
  <c r="D27" i="7"/>
  <c r="D17" i="7"/>
  <c r="D19" i="7" s="1"/>
  <c r="AD15" i="7"/>
  <c r="AC15" i="7"/>
  <c r="AB15" i="7"/>
  <c r="AA15" i="7"/>
  <c r="Z15" i="7"/>
  <c r="Y15" i="7"/>
  <c r="X15" i="7"/>
  <c r="W15" i="7"/>
  <c r="V15" i="7"/>
  <c r="U15" i="7"/>
  <c r="T15" i="7"/>
  <c r="S15" i="7"/>
  <c r="AD14" i="7"/>
  <c r="AC14" i="7"/>
  <c r="AB14" i="7"/>
  <c r="AA14" i="7"/>
  <c r="Z14" i="7"/>
  <c r="Y14" i="7"/>
  <c r="X14" i="7"/>
  <c r="W14" i="7"/>
  <c r="V14" i="7"/>
  <c r="U14" i="7"/>
  <c r="T14" i="7"/>
  <c r="S14" i="7"/>
  <c r="AD13" i="7"/>
  <c r="AC13" i="7"/>
  <c r="AB13" i="7"/>
  <c r="AA13" i="7"/>
  <c r="Z13" i="7"/>
  <c r="Y13" i="7"/>
  <c r="X13" i="7"/>
  <c r="W13" i="7"/>
  <c r="V13" i="7"/>
  <c r="U13" i="7"/>
  <c r="T13" i="7"/>
  <c r="S13" i="7"/>
  <c r="D11" i="7"/>
  <c r="B11" i="7"/>
  <c r="C11" i="7"/>
  <c r="C10" i="7"/>
  <c r="C9" i="7"/>
  <c r="A6" i="7"/>
  <c r="A4" i="7"/>
  <c r="P56" i="6"/>
  <c r="I56" i="6"/>
  <c r="J56" i="6"/>
  <c r="N56" i="6"/>
  <c r="O56" i="6"/>
  <c r="P55" i="6"/>
  <c r="I55" i="6"/>
  <c r="J55" i="6"/>
  <c r="D55" i="6"/>
  <c r="P54" i="6"/>
  <c r="I54" i="6"/>
  <c r="J54" i="6" s="1"/>
  <c r="N54" i="6" s="1"/>
  <c r="O54" i="6" s="1"/>
  <c r="P53" i="6"/>
  <c r="I53" i="6"/>
  <c r="J53" i="6"/>
  <c r="P52" i="6"/>
  <c r="G52" i="6"/>
  <c r="J52" i="6"/>
  <c r="D52" i="6"/>
  <c r="L52" i="6" s="1"/>
  <c r="O52" i="6" s="1"/>
  <c r="P51" i="6"/>
  <c r="I51" i="6"/>
  <c r="N51" i="6" s="1"/>
  <c r="O51" i="6" s="1"/>
  <c r="J51" i="6"/>
  <c r="P50" i="6"/>
  <c r="I50" i="6"/>
  <c r="J50" i="6" s="1"/>
  <c r="P49" i="6"/>
  <c r="J49" i="6"/>
  <c r="P48" i="6"/>
  <c r="I48" i="6"/>
  <c r="N48" i="6" s="1"/>
  <c r="O48" i="6" s="1"/>
  <c r="P47" i="6"/>
  <c r="I47" i="6"/>
  <c r="J47" i="6"/>
  <c r="P46" i="6"/>
  <c r="I46" i="6"/>
  <c r="J46" i="6"/>
  <c r="P45" i="6"/>
  <c r="I45" i="6"/>
  <c r="J45" i="6"/>
  <c r="P44" i="6"/>
  <c r="I44" i="6"/>
  <c r="J44" i="6"/>
  <c r="P43" i="6"/>
  <c r="H43" i="6"/>
  <c r="J43" i="6"/>
  <c r="P42" i="6"/>
  <c r="I42" i="6"/>
  <c r="J42" i="6"/>
  <c r="N42" i="6" s="1"/>
  <c r="O42" i="6" s="1"/>
  <c r="P41" i="6"/>
  <c r="G41" i="6"/>
  <c r="J41" i="6" s="1"/>
  <c r="D41" i="6"/>
  <c r="P40" i="6"/>
  <c r="G40" i="6"/>
  <c r="J40" i="6"/>
  <c r="P39" i="6"/>
  <c r="G39" i="6"/>
  <c r="J39" i="6"/>
  <c r="P38" i="6"/>
  <c r="G38" i="6"/>
  <c r="J38" i="6"/>
  <c r="D38" i="6"/>
  <c r="L38" i="6" s="1"/>
  <c r="P37" i="6"/>
  <c r="I37" i="6"/>
  <c r="J37" i="6"/>
  <c r="P36" i="6"/>
  <c r="I36" i="6"/>
  <c r="J36" i="6"/>
  <c r="P35" i="6"/>
  <c r="I35" i="6"/>
  <c r="J35" i="6"/>
  <c r="P34" i="6"/>
  <c r="I34" i="6"/>
  <c r="J34" i="6"/>
  <c r="P33" i="6"/>
  <c r="I33" i="6"/>
  <c r="J33" i="6"/>
  <c r="P32" i="6"/>
  <c r="I32" i="6"/>
  <c r="J32" i="6"/>
  <c r="P31" i="6"/>
  <c r="I31" i="6"/>
  <c r="J31" i="6"/>
  <c r="J26" i="6"/>
  <c r="N25" i="6"/>
  <c r="O25" i="6"/>
  <c r="J25" i="6"/>
  <c r="D19" i="6"/>
  <c r="D40" i="6" s="1"/>
  <c r="L40" i="6" s="1"/>
  <c r="O40" i="6" s="1"/>
  <c r="D18" i="6"/>
  <c r="D39" i="6" s="1"/>
  <c r="L39" i="6" s="1"/>
  <c r="O39" i="6" s="1"/>
  <c r="D17" i="6"/>
  <c r="D33" i="6" s="1"/>
  <c r="N33" i="6" s="1"/>
  <c r="O33" i="6" s="1"/>
  <c r="AD15" i="6"/>
  <c r="AC15" i="6"/>
  <c r="AB15" i="6"/>
  <c r="AA15" i="6"/>
  <c r="Z15" i="6"/>
  <c r="Y15" i="6"/>
  <c r="X15" i="6"/>
  <c r="W15" i="6"/>
  <c r="V15" i="6"/>
  <c r="U15" i="6"/>
  <c r="T15" i="6"/>
  <c r="S15" i="6"/>
  <c r="AD14" i="6"/>
  <c r="AC14" i="6"/>
  <c r="AB14" i="6"/>
  <c r="AA14" i="6"/>
  <c r="Z14" i="6"/>
  <c r="Y14" i="6"/>
  <c r="X14" i="6"/>
  <c r="W14" i="6"/>
  <c r="V14" i="6"/>
  <c r="U14" i="6"/>
  <c r="T14" i="6"/>
  <c r="S14" i="6"/>
  <c r="AD13" i="6"/>
  <c r="AC13" i="6"/>
  <c r="AB13" i="6"/>
  <c r="AA13" i="6"/>
  <c r="Z13" i="6"/>
  <c r="Y13" i="6"/>
  <c r="X13" i="6"/>
  <c r="W13" i="6"/>
  <c r="V13" i="6"/>
  <c r="U13" i="6"/>
  <c r="T13" i="6"/>
  <c r="S13" i="6"/>
  <c r="D11" i="6"/>
  <c r="B11" i="6"/>
  <c r="C11" i="6" s="1"/>
  <c r="C10" i="6"/>
  <c r="C9" i="6"/>
  <c r="A6" i="6"/>
  <c r="A4" i="6"/>
  <c r="P49" i="5"/>
  <c r="I49" i="5"/>
  <c r="J49" i="5"/>
  <c r="N49" i="5"/>
  <c r="O49" i="5"/>
  <c r="P48" i="5"/>
  <c r="I48" i="5"/>
  <c r="J48" i="5"/>
  <c r="P47" i="5"/>
  <c r="I47" i="5"/>
  <c r="J47" i="5"/>
  <c r="N47" i="5" s="1"/>
  <c r="O47" i="5" s="1"/>
  <c r="P46" i="5"/>
  <c r="I46" i="5"/>
  <c r="J46" i="5"/>
  <c r="P45" i="5"/>
  <c r="G45" i="5"/>
  <c r="J45" i="5"/>
  <c r="D45" i="5"/>
  <c r="L45" i="5" s="1"/>
  <c r="O45" i="5" s="1"/>
  <c r="P44" i="5"/>
  <c r="I44" i="5"/>
  <c r="N44" i="5" s="1"/>
  <c r="O44" i="5" s="1"/>
  <c r="P43" i="5"/>
  <c r="I43" i="5"/>
  <c r="J43" i="5"/>
  <c r="P42" i="5"/>
  <c r="J42" i="5"/>
  <c r="P41" i="5"/>
  <c r="I41" i="5"/>
  <c r="J41" i="5" s="1"/>
  <c r="P40" i="5"/>
  <c r="I40" i="5"/>
  <c r="J40" i="5" s="1"/>
  <c r="P39" i="5"/>
  <c r="I39" i="5"/>
  <c r="J39" i="5"/>
  <c r="P38" i="5"/>
  <c r="I38" i="5"/>
  <c r="J38" i="5"/>
  <c r="P37" i="5"/>
  <c r="I37" i="5"/>
  <c r="J37" i="5"/>
  <c r="P36" i="5"/>
  <c r="H36" i="5"/>
  <c r="J36" i="5"/>
  <c r="P35" i="5"/>
  <c r="I35" i="5"/>
  <c r="J35" i="5" s="1"/>
  <c r="N35" i="5" s="1"/>
  <c r="O35" i="5" s="1"/>
  <c r="P34" i="5"/>
  <c r="G34" i="5"/>
  <c r="J34" i="5" s="1"/>
  <c r="D34" i="5"/>
  <c r="P33" i="5"/>
  <c r="G33" i="5"/>
  <c r="J33" i="5"/>
  <c r="D33" i="5"/>
  <c r="L33" i="5" s="1"/>
  <c r="P32" i="5"/>
  <c r="G32" i="5"/>
  <c r="J32" i="5"/>
  <c r="D32" i="5"/>
  <c r="L32" i="5" s="1"/>
  <c r="O32" i="5" s="1"/>
  <c r="P31" i="5"/>
  <c r="I31" i="5"/>
  <c r="J31" i="5"/>
  <c r="P30" i="5"/>
  <c r="I30" i="5"/>
  <c r="J30" i="5"/>
  <c r="P29" i="5"/>
  <c r="J29" i="5"/>
  <c r="I29" i="5"/>
  <c r="P28" i="5"/>
  <c r="I28" i="5"/>
  <c r="J28" i="5"/>
  <c r="P27" i="5"/>
  <c r="I27" i="5"/>
  <c r="J27" i="5"/>
  <c r="P26" i="5"/>
  <c r="I26" i="5"/>
  <c r="J26" i="5"/>
  <c r="P25" i="5"/>
  <c r="I25" i="5"/>
  <c r="J25" i="5" s="1"/>
  <c r="J20" i="5"/>
  <c r="AD19" i="5"/>
  <c r="AC19" i="5"/>
  <c r="AB19" i="5"/>
  <c r="AA19" i="5"/>
  <c r="Z19" i="5"/>
  <c r="Y19" i="5"/>
  <c r="X19" i="5"/>
  <c r="W19" i="5"/>
  <c r="V19" i="5"/>
  <c r="U19" i="5"/>
  <c r="T19" i="5"/>
  <c r="S19" i="5"/>
  <c r="N19" i="5"/>
  <c r="O19" i="5"/>
  <c r="J19" i="5"/>
  <c r="AD18" i="5"/>
  <c r="AC18" i="5"/>
  <c r="AB18" i="5"/>
  <c r="AA18" i="5"/>
  <c r="Z18" i="5"/>
  <c r="Y18" i="5"/>
  <c r="X18" i="5"/>
  <c r="W18" i="5"/>
  <c r="V18" i="5"/>
  <c r="U18" i="5"/>
  <c r="T18" i="5"/>
  <c r="S18" i="5"/>
  <c r="AD17" i="5"/>
  <c r="AC17" i="5"/>
  <c r="AB17" i="5"/>
  <c r="AA17" i="5"/>
  <c r="Z17" i="5"/>
  <c r="Y17" i="5"/>
  <c r="X17" i="5"/>
  <c r="W17" i="5"/>
  <c r="V17" i="5"/>
  <c r="U17" i="5"/>
  <c r="T17" i="5"/>
  <c r="S17" i="5"/>
  <c r="AD16" i="5"/>
  <c r="AC16" i="5"/>
  <c r="AB16" i="5"/>
  <c r="AA16" i="5"/>
  <c r="Z16" i="5"/>
  <c r="Y16" i="5"/>
  <c r="X16" i="5"/>
  <c r="W16" i="5"/>
  <c r="V16" i="5"/>
  <c r="U16" i="5"/>
  <c r="T16" i="5"/>
  <c r="S16" i="5"/>
  <c r="C15" i="5"/>
  <c r="D20" i="5" s="1"/>
  <c r="C14" i="5"/>
  <c r="D46" i="5" s="1"/>
  <c r="N46" i="5" s="1"/>
  <c r="O46" i="5" s="1"/>
  <c r="D10" i="5"/>
  <c r="B10" i="5"/>
  <c r="C10" i="5" s="1"/>
  <c r="C9" i="5"/>
  <c r="C8" i="5"/>
  <c r="A5" i="5"/>
  <c r="P50" i="4"/>
  <c r="I50" i="4"/>
  <c r="J50" i="4"/>
  <c r="N50" i="4"/>
  <c r="O50" i="4"/>
  <c r="P49" i="4"/>
  <c r="I49" i="4"/>
  <c r="J49" i="4"/>
  <c r="P48" i="4"/>
  <c r="I48" i="4"/>
  <c r="J48" i="4" s="1"/>
  <c r="N48" i="4" s="1"/>
  <c r="O48" i="4" s="1"/>
  <c r="P47" i="4"/>
  <c r="I47" i="4"/>
  <c r="J47" i="4"/>
  <c r="P46" i="4"/>
  <c r="G46" i="4"/>
  <c r="J46" i="4"/>
  <c r="D46" i="4"/>
  <c r="L46" i="4" s="1"/>
  <c r="O46" i="4" s="1"/>
  <c r="P45" i="4"/>
  <c r="I45" i="4"/>
  <c r="J45" i="4"/>
  <c r="P44" i="4"/>
  <c r="I44" i="4"/>
  <c r="J44" i="4" s="1"/>
  <c r="P43" i="4"/>
  <c r="J43" i="4"/>
  <c r="P42" i="4"/>
  <c r="I42" i="4"/>
  <c r="N42" i="4" s="1"/>
  <c r="O42" i="4" s="1"/>
  <c r="P41" i="4"/>
  <c r="I41" i="4"/>
  <c r="J41" i="4"/>
  <c r="P40" i="4"/>
  <c r="I40" i="4"/>
  <c r="J40" i="4"/>
  <c r="P39" i="4"/>
  <c r="I39" i="4"/>
  <c r="J39" i="4"/>
  <c r="P38" i="4"/>
  <c r="I38" i="4"/>
  <c r="J38" i="4"/>
  <c r="P37" i="4"/>
  <c r="H37" i="4"/>
  <c r="J37" i="4"/>
  <c r="P36" i="4"/>
  <c r="I36" i="4"/>
  <c r="J36" i="4"/>
  <c r="N36" i="4"/>
  <c r="O36" i="4" s="1"/>
  <c r="P35" i="4"/>
  <c r="G35" i="4"/>
  <c r="J35" i="4" s="1"/>
  <c r="D35" i="4"/>
  <c r="P34" i="4"/>
  <c r="P33" i="4"/>
  <c r="P32" i="4"/>
  <c r="D32" i="4"/>
  <c r="P31" i="4"/>
  <c r="D31" i="4"/>
  <c r="P30" i="4"/>
  <c r="I30" i="4"/>
  <c r="J30" i="4"/>
  <c r="P29" i="4"/>
  <c r="I29" i="4"/>
  <c r="J29" i="4"/>
  <c r="P28" i="4"/>
  <c r="I28" i="4"/>
  <c r="J28" i="4"/>
  <c r="P27" i="4"/>
  <c r="I27" i="4"/>
  <c r="J27" i="4"/>
  <c r="P26" i="4"/>
  <c r="I26" i="4"/>
  <c r="J26" i="4"/>
  <c r="P25" i="4"/>
  <c r="I25" i="4"/>
  <c r="J25" i="4"/>
  <c r="P24" i="4"/>
  <c r="I24" i="4"/>
  <c r="J24" i="4"/>
  <c r="J19" i="4"/>
  <c r="AD18" i="4"/>
  <c r="AC18" i="4"/>
  <c r="AB18" i="4"/>
  <c r="AA18" i="4"/>
  <c r="Z18" i="4"/>
  <c r="Y18" i="4"/>
  <c r="X18" i="4"/>
  <c r="W18" i="4"/>
  <c r="V18" i="4"/>
  <c r="U18" i="4"/>
  <c r="T18" i="4"/>
  <c r="S18" i="4"/>
  <c r="N18" i="4"/>
  <c r="J18" i="4"/>
  <c r="AD17" i="4"/>
  <c r="AC17" i="4"/>
  <c r="AB17" i="4"/>
  <c r="AA17" i="4"/>
  <c r="Z17" i="4"/>
  <c r="Y17" i="4"/>
  <c r="X17" i="4"/>
  <c r="W17" i="4"/>
  <c r="V17" i="4"/>
  <c r="U17" i="4"/>
  <c r="T17" i="4"/>
  <c r="S17" i="4"/>
  <c r="AD16" i="4"/>
  <c r="AC16" i="4"/>
  <c r="AB16" i="4"/>
  <c r="AA16" i="4"/>
  <c r="Z16" i="4"/>
  <c r="Y16" i="4"/>
  <c r="X16" i="4"/>
  <c r="W16" i="4"/>
  <c r="V16" i="4"/>
  <c r="U16" i="4"/>
  <c r="T16" i="4"/>
  <c r="S16" i="4"/>
  <c r="AD15" i="4"/>
  <c r="AC15" i="4"/>
  <c r="AB15" i="4"/>
  <c r="AA15" i="4"/>
  <c r="Z15" i="4"/>
  <c r="Y15" i="4"/>
  <c r="X15" i="4"/>
  <c r="W15" i="4"/>
  <c r="V15" i="4"/>
  <c r="U15" i="4"/>
  <c r="T15" i="4"/>
  <c r="S15" i="4"/>
  <c r="C14" i="4"/>
  <c r="D47" i="4" s="1"/>
  <c r="N47" i="4" s="1"/>
  <c r="O47" i="4" s="1"/>
  <c r="D10" i="4"/>
  <c r="B10" i="4"/>
  <c r="G34" i="4" s="1"/>
  <c r="J34" i="4" s="1"/>
  <c r="C9" i="4"/>
  <c r="C8" i="4"/>
  <c r="A5" i="4"/>
  <c r="P55" i="3"/>
  <c r="I55" i="3"/>
  <c r="J55" i="3"/>
  <c r="N55" i="3"/>
  <c r="O55" i="3"/>
  <c r="P54" i="3"/>
  <c r="I54" i="3"/>
  <c r="J54" i="3"/>
  <c r="P53" i="3"/>
  <c r="I53" i="3"/>
  <c r="J53" i="3" s="1"/>
  <c r="N53" i="3" s="1"/>
  <c r="O53" i="3" s="1"/>
  <c r="P52" i="3"/>
  <c r="I52" i="3"/>
  <c r="J52" i="3"/>
  <c r="P51" i="3"/>
  <c r="G51" i="3"/>
  <c r="J51" i="3"/>
  <c r="D51" i="3"/>
  <c r="L51" i="3" s="1"/>
  <c r="O51" i="3" s="1"/>
  <c r="P50" i="3"/>
  <c r="I50" i="3"/>
  <c r="N50" i="3"/>
  <c r="O50" i="3"/>
  <c r="P49" i="3"/>
  <c r="I49" i="3"/>
  <c r="J49" i="3"/>
  <c r="P48" i="3"/>
  <c r="J48" i="3"/>
  <c r="P47" i="3"/>
  <c r="I47" i="3"/>
  <c r="N47" i="3" s="1"/>
  <c r="O47" i="3" s="1"/>
  <c r="P46" i="3"/>
  <c r="I46" i="3"/>
  <c r="J46" i="3"/>
  <c r="P45" i="3"/>
  <c r="I45" i="3"/>
  <c r="J45" i="3"/>
  <c r="P44" i="3"/>
  <c r="I44" i="3"/>
  <c r="J44" i="3"/>
  <c r="P43" i="3"/>
  <c r="I43" i="3"/>
  <c r="J43" i="3"/>
  <c r="P42" i="3"/>
  <c r="H42" i="3"/>
  <c r="J42" i="3"/>
  <c r="P41" i="3"/>
  <c r="I41" i="3"/>
  <c r="J41" i="3"/>
  <c r="N41" i="3" s="1"/>
  <c r="O41" i="3" s="1"/>
  <c r="P40" i="3"/>
  <c r="G40" i="3"/>
  <c r="J40" i="3" s="1"/>
  <c r="D40" i="3"/>
  <c r="P39" i="3"/>
  <c r="G39" i="3"/>
  <c r="D39" i="3"/>
  <c r="L39" i="3" s="1"/>
  <c r="O39" i="3" s="1"/>
  <c r="P38" i="3"/>
  <c r="G38" i="3"/>
  <c r="J38" i="3"/>
  <c r="D38" i="3"/>
  <c r="L38" i="3" s="1"/>
  <c r="O38" i="3" s="1"/>
  <c r="P37" i="3"/>
  <c r="I37" i="3"/>
  <c r="J37" i="3"/>
  <c r="P36" i="3"/>
  <c r="I36" i="3"/>
  <c r="J36" i="3"/>
  <c r="P35" i="3"/>
  <c r="I35" i="3"/>
  <c r="J35" i="3"/>
  <c r="P34" i="3"/>
  <c r="I34" i="3"/>
  <c r="J34" i="3"/>
  <c r="P33" i="3"/>
  <c r="I33" i="3"/>
  <c r="J33" i="3"/>
  <c r="P32" i="3"/>
  <c r="I32" i="3"/>
  <c r="J32" i="3"/>
  <c r="P31" i="3"/>
  <c r="I31" i="3"/>
  <c r="J31" i="3"/>
  <c r="J26" i="3"/>
  <c r="N25" i="3"/>
  <c r="O25" i="3"/>
  <c r="J25" i="3"/>
  <c r="D17" i="3"/>
  <c r="D33" i="3" s="1"/>
  <c r="N33" i="3" s="1"/>
  <c r="O33" i="3" s="1"/>
  <c r="D11" i="3"/>
  <c r="B11" i="3"/>
  <c r="C11" i="3" s="1"/>
  <c r="C10" i="3"/>
  <c r="C9" i="3"/>
  <c r="A6" i="3"/>
  <c r="A4" i="3"/>
  <c r="D30" i="1"/>
  <c r="C18" i="34" s="1"/>
  <c r="D18" i="34" s="1"/>
  <c r="D29" i="34" s="1"/>
  <c r="N29" i="34" s="1"/>
  <c r="O29" i="34" s="1"/>
  <c r="E19" i="1"/>
  <c r="J49" i="21"/>
  <c r="N21" i="16"/>
  <c r="L33" i="8"/>
  <c r="O33" i="8" s="1"/>
  <c r="L34" i="8"/>
  <c r="O34" i="8" s="1"/>
  <c r="N47" i="18"/>
  <c r="O47" i="18" s="1"/>
  <c r="J46" i="10"/>
  <c r="N47" i="16"/>
  <c r="O47" i="16"/>
  <c r="L48" i="15"/>
  <c r="O48" i="15" s="1"/>
  <c r="J21" i="32"/>
  <c r="N44" i="30"/>
  <c r="O44" i="30" s="1"/>
  <c r="J47" i="30"/>
  <c r="J47" i="28"/>
  <c r="J47" i="27"/>
  <c r="J47" i="26"/>
  <c r="N44" i="26"/>
  <c r="O44" i="26" s="1"/>
  <c r="J41" i="24"/>
  <c r="J51" i="23"/>
  <c r="J48" i="23"/>
  <c r="J25" i="23"/>
  <c r="J50" i="20"/>
  <c r="J54" i="20"/>
  <c r="J50" i="19"/>
  <c r="J44" i="18"/>
  <c r="N21" i="18"/>
  <c r="O21" i="18"/>
  <c r="J47" i="17"/>
  <c r="N47" i="15"/>
  <c r="O47" i="15"/>
  <c r="J44" i="13"/>
  <c r="L36" i="11"/>
  <c r="O36" i="11"/>
  <c r="J47" i="11"/>
  <c r="J43" i="10"/>
  <c r="J51" i="9"/>
  <c r="L46" i="8"/>
  <c r="O46" i="8" s="1"/>
  <c r="N42" i="8"/>
  <c r="O42" i="8"/>
  <c r="N27" i="7"/>
  <c r="O27" i="7" s="1"/>
  <c r="J48" i="7"/>
  <c r="N55" i="6"/>
  <c r="O55" i="6"/>
  <c r="D49" i="29"/>
  <c r="N49" i="29" s="1"/>
  <c r="O49" i="29" s="1"/>
  <c r="O63" i="6"/>
  <c r="D45" i="21"/>
  <c r="N45" i="21" s="1"/>
  <c r="O45" i="21" s="1"/>
  <c r="D40" i="31"/>
  <c r="N40" i="31" s="1"/>
  <c r="O40" i="31" s="1"/>
  <c r="D35" i="21"/>
  <c r="N35" i="21" s="1"/>
  <c r="O35" i="21" s="1"/>
  <c r="D42" i="29"/>
  <c r="N42" i="29" s="1"/>
  <c r="O42" i="29" s="1"/>
  <c r="D55" i="21"/>
  <c r="N55" i="21" s="1"/>
  <c r="O55" i="21" s="1"/>
  <c r="D47" i="12"/>
  <c r="N47" i="12" s="1"/>
  <c r="O47" i="12" s="1"/>
  <c r="D42" i="21"/>
  <c r="D57" i="19"/>
  <c r="D28" i="31"/>
  <c r="N28" i="31" s="1"/>
  <c r="O28" i="31" s="1"/>
  <c r="J39" i="7"/>
  <c r="J47" i="10"/>
  <c r="J34" i="11"/>
  <c r="J44" i="16"/>
  <c r="O19" i="8"/>
  <c r="J41" i="12"/>
  <c r="J46" i="12"/>
  <c r="N48" i="29"/>
  <c r="O48" i="29" s="1"/>
  <c r="J48" i="29"/>
  <c r="J31" i="31"/>
  <c r="J45" i="8"/>
  <c r="N45" i="8"/>
  <c r="O45" i="8" s="1"/>
  <c r="O19" i="12"/>
  <c r="N21" i="31"/>
  <c r="J21" i="31"/>
  <c r="O21" i="11"/>
  <c r="J47" i="13"/>
  <c r="N47" i="14"/>
  <c r="O47" i="14"/>
  <c r="D49" i="18"/>
  <c r="N49" i="18" s="1"/>
  <c r="O49" i="18" s="1"/>
  <c r="D45" i="18"/>
  <c r="O45" i="18" s="1"/>
  <c r="D31" i="18"/>
  <c r="N31" i="18" s="1"/>
  <c r="O31" i="18" s="1"/>
  <c r="O21" i="16"/>
  <c r="D48" i="17"/>
  <c r="L48" i="17" s="1"/>
  <c r="O48" i="17" s="1"/>
  <c r="D35" i="17"/>
  <c r="L35" i="17" s="1"/>
  <c r="O35" i="17" s="1"/>
  <c r="O21" i="13"/>
  <c r="N45" i="4"/>
  <c r="O45" i="4"/>
  <c r="N41" i="5"/>
  <c r="O41" i="5" s="1"/>
  <c r="N51" i="7"/>
  <c r="O51" i="7" s="1"/>
  <c r="J51" i="7"/>
  <c r="D53" i="9"/>
  <c r="N53" i="9" s="1"/>
  <c r="O53" i="9" s="1"/>
  <c r="D33" i="9"/>
  <c r="N33" i="9" s="1"/>
  <c r="O33" i="9" s="1"/>
  <c r="D49" i="9"/>
  <c r="O49" i="9" s="1"/>
  <c r="D44" i="9"/>
  <c r="N44" i="9" s="1"/>
  <c r="O44" i="9" s="1"/>
  <c r="D39" i="18"/>
  <c r="M39" i="18" s="1"/>
  <c r="J35" i="15"/>
  <c r="J21" i="17"/>
  <c r="J50" i="3"/>
  <c r="N44" i="17"/>
  <c r="O44" i="17" s="1"/>
  <c r="O18" i="4"/>
  <c r="J32" i="12"/>
  <c r="D26" i="6"/>
  <c r="N26" i="6" s="1"/>
  <c r="O26" i="6" s="1"/>
  <c r="O27" i="6" s="1"/>
  <c r="D36" i="9"/>
  <c r="N36" i="9" s="1"/>
  <c r="O36" i="9" s="1"/>
  <c r="D29" i="17"/>
  <c r="N29" i="17" s="1"/>
  <c r="O29" i="17" s="1"/>
  <c r="D29" i="18"/>
  <c r="N29" i="18" s="1"/>
  <c r="O29" i="18" s="1"/>
  <c r="J39" i="3"/>
  <c r="J48" i="6"/>
  <c r="J54" i="19"/>
  <c r="N54" i="19"/>
  <c r="O54" i="19"/>
  <c r="D43" i="21"/>
  <c r="D56" i="21"/>
  <c r="N56" i="21" s="1"/>
  <c r="O56" i="21" s="1"/>
  <c r="D36" i="21"/>
  <c r="N36" i="21" s="1"/>
  <c r="O36" i="21" s="1"/>
  <c r="D33" i="21"/>
  <c r="N33" i="21" s="1"/>
  <c r="O33" i="21" s="1"/>
  <c r="D57" i="21"/>
  <c r="N57" i="21" s="1"/>
  <c r="O57" i="21" s="1"/>
  <c r="N53" i="21"/>
  <c r="O53" i="21" s="1"/>
  <c r="J53" i="21"/>
  <c r="O21" i="25"/>
  <c r="J46" i="29"/>
  <c r="N46" i="29"/>
  <c r="O46" i="29" s="1"/>
  <c r="C20" i="27"/>
  <c r="C20" i="19"/>
  <c r="C19" i="21"/>
  <c r="D15" i="21"/>
  <c r="C20" i="20"/>
  <c r="C17" i="14"/>
  <c r="J48" i="14"/>
  <c r="L35" i="18"/>
  <c r="O35" i="18" s="1"/>
  <c r="N25" i="7"/>
  <c r="J48" i="9"/>
  <c r="L35" i="10"/>
  <c r="O35" i="10" s="1"/>
  <c r="J41" i="20"/>
  <c r="C19" i="29"/>
  <c r="J44" i="31"/>
  <c r="C17" i="15"/>
  <c r="O23" i="14"/>
  <c r="J41" i="19"/>
  <c r="J54" i="21"/>
  <c r="O19" i="24"/>
  <c r="D15" i="28"/>
  <c r="N43" i="25"/>
  <c r="O43" i="25"/>
  <c r="J43" i="25"/>
  <c r="N49" i="28"/>
  <c r="O49" i="28" s="1"/>
  <c r="J21" i="30"/>
  <c r="N21" i="30"/>
  <c r="D17" i="27"/>
  <c r="O21" i="32"/>
  <c r="D39" i="29"/>
  <c r="D35" i="29"/>
  <c r="N35" i="29" s="1"/>
  <c r="O35" i="29" s="1"/>
  <c r="D33" i="29"/>
  <c r="N33" i="29" s="1"/>
  <c r="O33" i="29" s="1"/>
  <c r="D36" i="29"/>
  <c r="N36" i="29" s="1"/>
  <c r="O36" i="29" s="1"/>
  <c r="D40" i="29"/>
  <c r="M40" i="29" s="1"/>
  <c r="O40" i="29" s="1"/>
  <c r="D16" i="29"/>
  <c r="D26" i="29" s="1"/>
  <c r="D14" i="29"/>
  <c r="D43" i="29" s="1"/>
  <c r="N43" i="29" s="1"/>
  <c r="O43" i="29" s="1"/>
  <c r="J47" i="32"/>
  <c r="J41" i="25"/>
  <c r="O21" i="31"/>
  <c r="D19" i="20"/>
  <c r="D19" i="19"/>
  <c r="O25" i="7"/>
  <c r="D19" i="27"/>
  <c r="D14" i="21"/>
  <c r="D44" i="21" s="1"/>
  <c r="O21" i="30"/>
  <c r="D17" i="21"/>
  <c r="D15" i="29"/>
  <c r="D17" i="29"/>
  <c r="D15" i="20"/>
  <c r="D16" i="21"/>
  <c r="D58" i="21" s="1"/>
  <c r="N58" i="21" s="1"/>
  <c r="O58" i="21" s="1"/>
  <c r="D31" i="14" l="1"/>
  <c r="D29" i="14"/>
  <c r="N29" i="14" s="1"/>
  <c r="O29" i="14" s="1"/>
  <c r="D37" i="5"/>
  <c r="N37" i="5" s="1"/>
  <c r="O37" i="5" s="1"/>
  <c r="D38" i="10"/>
  <c r="M38" i="10" s="1"/>
  <c r="D30" i="10"/>
  <c r="N30" i="10" s="1"/>
  <c r="O30" i="10" s="1"/>
  <c r="D16" i="14"/>
  <c r="D24" i="14" s="1"/>
  <c r="N24" i="14" s="1"/>
  <c r="D40" i="14"/>
  <c r="N40" i="14" s="1"/>
  <c r="O40" i="14" s="1"/>
  <c r="D49" i="14"/>
  <c r="N49" i="14" s="1"/>
  <c r="O49" i="14" s="1"/>
  <c r="D50" i="14"/>
  <c r="N50" i="14" s="1"/>
  <c r="O50" i="14" s="1"/>
  <c r="D29" i="10"/>
  <c r="N29" i="10" s="1"/>
  <c r="O29" i="10" s="1"/>
  <c r="D39" i="14"/>
  <c r="M39" i="14" s="1"/>
  <c r="M55" i="14" s="1"/>
  <c r="M57" i="14" s="1"/>
  <c r="D51" i="14"/>
  <c r="N51" i="14" s="1"/>
  <c r="O51" i="14" s="1"/>
  <c r="D32" i="14"/>
  <c r="N32" i="14" s="1"/>
  <c r="O32" i="14" s="1"/>
  <c r="D22" i="30"/>
  <c r="N22" i="30" s="1"/>
  <c r="D28" i="30"/>
  <c r="N28" i="30" s="1"/>
  <c r="O28" i="30" s="1"/>
  <c r="D36" i="19"/>
  <c r="N36" i="19" s="1"/>
  <c r="O36" i="19" s="1"/>
  <c r="J43" i="15"/>
  <c r="N44" i="32"/>
  <c r="O44" i="32" s="1"/>
  <c r="N47" i="37"/>
  <c r="O47" i="37" s="1"/>
  <c r="J47" i="3"/>
  <c r="L42" i="20"/>
  <c r="O42" i="20" s="1"/>
  <c r="L42" i="19"/>
  <c r="O42" i="19" s="1"/>
  <c r="L42" i="34"/>
  <c r="O42" i="34" s="1"/>
  <c r="L34" i="5"/>
  <c r="O34" i="5" s="1"/>
  <c r="L37" i="17"/>
  <c r="O37" i="17" s="1"/>
  <c r="L35" i="4"/>
  <c r="O35" i="4" s="1"/>
  <c r="L37" i="15"/>
  <c r="O37" i="15" s="1"/>
  <c r="L35" i="8"/>
  <c r="O35" i="8" s="1"/>
  <c r="D34" i="22"/>
  <c r="N34" i="22" s="1"/>
  <c r="O34" i="22" s="1"/>
  <c r="D43" i="4"/>
  <c r="O43" i="4" s="1"/>
  <c r="D52" i="29"/>
  <c r="N52" i="29" s="1"/>
  <c r="O52" i="29" s="1"/>
  <c r="D23" i="25"/>
  <c r="N23" i="25" s="1"/>
  <c r="O23" i="25" s="1"/>
  <c r="D47" i="8"/>
  <c r="N47" i="8" s="1"/>
  <c r="O47" i="8" s="1"/>
  <c r="D39" i="32"/>
  <c r="M39" i="32" s="1"/>
  <c r="M55" i="32" s="1"/>
  <c r="M57" i="32" s="1"/>
  <c r="O65" i="26"/>
  <c r="D51" i="10"/>
  <c r="N51" i="10" s="1"/>
  <c r="O51" i="10" s="1"/>
  <c r="D31" i="32"/>
  <c r="N31" i="32" s="1"/>
  <c r="O31" i="32" s="1"/>
  <c r="D44" i="20"/>
  <c r="D47" i="25"/>
  <c r="N47" i="25" s="1"/>
  <c r="O47" i="25" s="1"/>
  <c r="D37" i="25"/>
  <c r="N37" i="25" s="1"/>
  <c r="O37" i="25" s="1"/>
  <c r="D16" i="20"/>
  <c r="D27" i="20" s="1"/>
  <c r="D58" i="20"/>
  <c r="N58" i="20" s="1"/>
  <c r="O58" i="20" s="1"/>
  <c r="C18" i="20"/>
  <c r="D18" i="20" s="1"/>
  <c r="D39" i="15"/>
  <c r="M39" i="15" s="1"/>
  <c r="M55" i="15" s="1"/>
  <c r="M57" i="15" s="1"/>
  <c r="D46" i="20"/>
  <c r="N46" i="20" s="1"/>
  <c r="O46" i="20" s="1"/>
  <c r="D57" i="20"/>
  <c r="N57" i="20" s="1"/>
  <c r="O57" i="20" s="1"/>
  <c r="D56" i="20"/>
  <c r="N56" i="20" s="1"/>
  <c r="O56" i="20" s="1"/>
  <c r="D39" i="10"/>
  <c r="N39" i="10" s="1"/>
  <c r="O39" i="10" s="1"/>
  <c r="D50" i="22"/>
  <c r="N50" i="22" s="1"/>
  <c r="O50" i="22" s="1"/>
  <c r="D42" i="22"/>
  <c r="N42" i="22" s="1"/>
  <c r="O42" i="22" s="1"/>
  <c r="D35" i="20"/>
  <c r="D36" i="25"/>
  <c r="M36" i="25" s="1"/>
  <c r="O36" i="25" s="1"/>
  <c r="D48" i="11"/>
  <c r="L48" i="11" s="1"/>
  <c r="O48" i="11" s="1"/>
  <c r="D32" i="15"/>
  <c r="N32" i="15" s="1"/>
  <c r="O32" i="15" s="1"/>
  <c r="D38" i="32"/>
  <c r="D40" i="15"/>
  <c r="N40" i="15" s="1"/>
  <c r="O40" i="15" s="1"/>
  <c r="D49" i="15"/>
  <c r="N49" i="15" s="1"/>
  <c r="O49" i="15" s="1"/>
  <c r="D40" i="32"/>
  <c r="N40" i="32" s="1"/>
  <c r="O40" i="32" s="1"/>
  <c r="D40" i="22"/>
  <c r="M40" i="22" s="1"/>
  <c r="O40" i="22" s="1"/>
  <c r="D37" i="20"/>
  <c r="N37" i="20" s="1"/>
  <c r="O37" i="20" s="1"/>
  <c r="N34" i="20"/>
  <c r="O34" i="20" s="1"/>
  <c r="D45" i="32"/>
  <c r="O45" i="32" s="1"/>
  <c r="D46" i="25"/>
  <c r="N46" i="25" s="1"/>
  <c r="O46" i="25" s="1"/>
  <c r="O63" i="22"/>
  <c r="D36" i="20"/>
  <c r="N36" i="20" s="1"/>
  <c r="O36" i="20" s="1"/>
  <c r="D43" i="20"/>
  <c r="C18" i="27"/>
  <c r="D18" i="27" s="1"/>
  <c r="D29" i="27" s="1"/>
  <c r="N29" i="27" s="1"/>
  <c r="O29" i="27" s="1"/>
  <c r="I15" i="20"/>
  <c r="D43" i="37"/>
  <c r="N43" i="37" s="1"/>
  <c r="O43" i="37" s="1"/>
  <c r="D50" i="37"/>
  <c r="D40" i="37"/>
  <c r="D41" i="37"/>
  <c r="D43" i="38"/>
  <c r="N43" i="38" s="1"/>
  <c r="O43" i="38" s="1"/>
  <c r="D50" i="38"/>
  <c r="N50" i="38" s="1"/>
  <c r="O50" i="38" s="1"/>
  <c r="D34" i="38"/>
  <c r="D35" i="38" s="1"/>
  <c r="D51" i="38"/>
  <c r="N51" i="38" s="1"/>
  <c r="O51" i="38" s="1"/>
  <c r="D36" i="38"/>
  <c r="N36" i="38" s="1"/>
  <c r="O36" i="38" s="1"/>
  <c r="D52" i="38"/>
  <c r="D37" i="38"/>
  <c r="D40" i="38"/>
  <c r="D41" i="38"/>
  <c r="M41" i="38" s="1"/>
  <c r="D34" i="37"/>
  <c r="D35" i="37" s="1"/>
  <c r="N35" i="37" s="1"/>
  <c r="O35" i="37" s="1"/>
  <c r="D32" i="17"/>
  <c r="N32" i="17" s="1"/>
  <c r="O32" i="17" s="1"/>
  <c r="D52" i="37"/>
  <c r="D36" i="37"/>
  <c r="D38" i="37" s="1"/>
  <c r="D38" i="17"/>
  <c r="D51" i="37"/>
  <c r="D44" i="37"/>
  <c r="D44" i="38"/>
  <c r="D42" i="38"/>
  <c r="D29" i="20"/>
  <c r="N29" i="20" s="1"/>
  <c r="O29" i="20" s="1"/>
  <c r="D41" i="28"/>
  <c r="M41" i="28" s="1"/>
  <c r="O41" i="28" s="1"/>
  <c r="C18" i="19"/>
  <c r="D18" i="19" s="1"/>
  <c r="D29" i="19" s="1"/>
  <c r="N29" i="19" s="1"/>
  <c r="O29" i="19" s="1"/>
  <c r="D16" i="35"/>
  <c r="D59" i="35" s="1"/>
  <c r="N59" i="35" s="1"/>
  <c r="O59" i="35" s="1"/>
  <c r="D34" i="29"/>
  <c r="N34" i="29" s="1"/>
  <c r="O34" i="29" s="1"/>
  <c r="I15" i="15"/>
  <c r="D50" i="21"/>
  <c r="O50" i="21" s="1"/>
  <c r="D30" i="14"/>
  <c r="D34" i="21"/>
  <c r="D51" i="21" s="1"/>
  <c r="O51" i="21" s="1"/>
  <c r="D35" i="24"/>
  <c r="N35" i="24" s="1"/>
  <c r="O35" i="24" s="1"/>
  <c r="D31" i="24"/>
  <c r="N31" i="24" s="1"/>
  <c r="O31" i="24" s="1"/>
  <c r="I15" i="36"/>
  <c r="I15" i="19"/>
  <c r="J49" i="38"/>
  <c r="J49" i="27"/>
  <c r="J47" i="31"/>
  <c r="J44" i="5"/>
  <c r="N47" i="22"/>
  <c r="O47" i="22" s="1"/>
  <c r="M44" i="21"/>
  <c r="O44" i="21" s="1"/>
  <c r="D28" i="11"/>
  <c r="N28" i="11" s="1"/>
  <c r="O28" i="11" s="1"/>
  <c r="D32" i="6"/>
  <c r="N32" i="6" s="1"/>
  <c r="O32" i="6" s="1"/>
  <c r="D22" i="13"/>
  <c r="N22" i="13" s="1"/>
  <c r="D29" i="4"/>
  <c r="N29" i="4" s="1"/>
  <c r="O29" i="4" s="1"/>
  <c r="D42" i="5"/>
  <c r="O42" i="5" s="1"/>
  <c r="D27" i="12"/>
  <c r="N27" i="12" s="1"/>
  <c r="O27" i="12" s="1"/>
  <c r="D25" i="5"/>
  <c r="N25" i="5" s="1"/>
  <c r="O25" i="5" s="1"/>
  <c r="D34" i="6"/>
  <c r="N34" i="6" s="1"/>
  <c r="O34" i="6" s="1"/>
  <c r="D37" i="8"/>
  <c r="M37" i="8" s="1"/>
  <c r="O37" i="8" s="1"/>
  <c r="D20" i="8"/>
  <c r="N20" i="8" s="1"/>
  <c r="N21" i="8" s="1"/>
  <c r="D40" i="8" s="1"/>
  <c r="N40" i="8" s="1"/>
  <c r="O40" i="8" s="1"/>
  <c r="D30" i="8"/>
  <c r="N30" i="8" s="1"/>
  <c r="O30" i="8" s="1"/>
  <c r="D36" i="6"/>
  <c r="N36" i="6" s="1"/>
  <c r="O36" i="6" s="1"/>
  <c r="D48" i="12"/>
  <c r="N48" i="12" s="1"/>
  <c r="O48" i="12" s="1"/>
  <c r="D39" i="8"/>
  <c r="N39" i="8" s="1"/>
  <c r="O39" i="8" s="1"/>
  <c r="D28" i="8"/>
  <c r="N28" i="8" s="1"/>
  <c r="O28" i="8" s="1"/>
  <c r="D27" i="8"/>
  <c r="N27" i="8" s="1"/>
  <c r="O27" i="8" s="1"/>
  <c r="D49" i="8"/>
  <c r="N49" i="8" s="1"/>
  <c r="O49" i="8" s="1"/>
  <c r="L34" i="12"/>
  <c r="O34" i="12" s="1"/>
  <c r="D26" i="5"/>
  <c r="N26" i="5" s="1"/>
  <c r="O26" i="5" s="1"/>
  <c r="D52" i="16"/>
  <c r="N52" i="16" s="1"/>
  <c r="O52" i="16" s="1"/>
  <c r="D28" i="5"/>
  <c r="N28" i="5" s="1"/>
  <c r="O28" i="5" s="1"/>
  <c r="D26" i="12"/>
  <c r="D44" i="6"/>
  <c r="N44" i="6" s="1"/>
  <c r="O44" i="6" s="1"/>
  <c r="D30" i="5"/>
  <c r="N30" i="5" s="1"/>
  <c r="O30" i="5" s="1"/>
  <c r="D28" i="12"/>
  <c r="N28" i="12" s="1"/>
  <c r="O28" i="12" s="1"/>
  <c r="D45" i="6"/>
  <c r="N45" i="6" s="1"/>
  <c r="O45" i="6" s="1"/>
  <c r="D29" i="8"/>
  <c r="N29" i="8" s="1"/>
  <c r="O29" i="8" s="1"/>
  <c r="D25" i="12"/>
  <c r="D35" i="6"/>
  <c r="N35" i="6" s="1"/>
  <c r="O35" i="6" s="1"/>
  <c r="N42" i="15"/>
  <c r="O42" i="15" s="1"/>
  <c r="D20" i="12"/>
  <c r="N20" i="12" s="1"/>
  <c r="N21" i="12" s="1"/>
  <c r="D39" i="12" s="1"/>
  <c r="N39" i="12" s="1"/>
  <c r="O39" i="12" s="1"/>
  <c r="D27" i="13"/>
  <c r="N27" i="13" s="1"/>
  <c r="O27" i="13" s="1"/>
  <c r="D37" i="12"/>
  <c r="N37" i="12" s="1"/>
  <c r="O37" i="12" s="1"/>
  <c r="D53" i="6"/>
  <c r="N53" i="6" s="1"/>
  <c r="O53" i="6" s="1"/>
  <c r="N27" i="6"/>
  <c r="D46" i="6" s="1"/>
  <c r="N46" i="6" s="1"/>
  <c r="O46" i="6" s="1"/>
  <c r="D37" i="21"/>
  <c r="N37" i="21" s="1"/>
  <c r="O37" i="21" s="1"/>
  <c r="D36" i="12"/>
  <c r="M36" i="12" s="1"/>
  <c r="O36" i="12" s="1"/>
  <c r="D26" i="8"/>
  <c r="N26" i="8" s="1"/>
  <c r="O26" i="8" s="1"/>
  <c r="D43" i="6"/>
  <c r="M43" i="6" s="1"/>
  <c r="M58" i="6" s="1"/>
  <c r="M60" i="6" s="1"/>
  <c r="D49" i="12"/>
  <c r="N49" i="12" s="1"/>
  <c r="O49" i="12" s="1"/>
  <c r="D25" i="8"/>
  <c r="N25" i="8" s="1"/>
  <c r="O25" i="8" s="1"/>
  <c r="D31" i="6"/>
  <c r="N31" i="6" s="1"/>
  <c r="O31" i="6" s="1"/>
  <c r="D49" i="6"/>
  <c r="O49" i="6" s="1"/>
  <c r="D16" i="19"/>
  <c r="D27" i="19" s="1"/>
  <c r="D43" i="8"/>
  <c r="O43" i="8" s="1"/>
  <c r="D35" i="36"/>
  <c r="N35" i="36" s="1"/>
  <c r="O35" i="36" s="1"/>
  <c r="O20" i="12"/>
  <c r="O21" i="12" s="1"/>
  <c r="D56" i="19"/>
  <c r="N56" i="19" s="1"/>
  <c r="O56" i="19" s="1"/>
  <c r="D48" i="13"/>
  <c r="L48" i="13" s="1"/>
  <c r="O48" i="13" s="1"/>
  <c r="M44" i="20"/>
  <c r="O44" i="20" s="1"/>
  <c r="M39" i="17"/>
  <c r="M43" i="21"/>
  <c r="O43" i="21" s="1"/>
  <c r="J34" i="12"/>
  <c r="L40" i="3"/>
  <c r="O40" i="3" s="1"/>
  <c r="L41" i="36"/>
  <c r="O41" i="36" s="1"/>
  <c r="L41" i="6"/>
  <c r="O41" i="6" s="1"/>
  <c r="L37" i="14"/>
  <c r="O37" i="14" s="1"/>
  <c r="L41" i="7"/>
  <c r="O41" i="7" s="1"/>
  <c r="L41" i="9"/>
  <c r="O41" i="9" s="1"/>
  <c r="L42" i="35"/>
  <c r="O42" i="35" s="1"/>
  <c r="J43" i="14"/>
  <c r="J49" i="36"/>
  <c r="J46" i="39"/>
  <c r="J47" i="38"/>
  <c r="J50" i="34"/>
  <c r="J44" i="11"/>
  <c r="N45" i="22"/>
  <c r="O45" i="22" s="1"/>
  <c r="J42" i="4"/>
  <c r="N39" i="24"/>
  <c r="O39" i="24" s="1"/>
  <c r="D17" i="36"/>
  <c r="D45" i="30"/>
  <c r="O45" i="30" s="1"/>
  <c r="D34" i="3"/>
  <c r="N34" i="3" s="1"/>
  <c r="O34" i="3" s="1"/>
  <c r="D36" i="13"/>
  <c r="L36" i="13" s="1"/>
  <c r="O36" i="13" s="1"/>
  <c r="L58" i="23"/>
  <c r="L60" i="23" s="1"/>
  <c r="D40" i="13"/>
  <c r="N40" i="13" s="1"/>
  <c r="O40" i="13" s="1"/>
  <c r="D54" i="3"/>
  <c r="N54" i="3" s="1"/>
  <c r="O54" i="3" s="1"/>
  <c r="D51" i="13"/>
  <c r="N51" i="13" s="1"/>
  <c r="O51" i="13" s="1"/>
  <c r="D42" i="3"/>
  <c r="M42" i="3" s="1"/>
  <c r="D30" i="30"/>
  <c r="N30" i="30" s="1"/>
  <c r="O30" i="30" s="1"/>
  <c r="D38" i="13"/>
  <c r="D50" i="13"/>
  <c r="N50" i="13" s="1"/>
  <c r="O50" i="13" s="1"/>
  <c r="D28" i="13"/>
  <c r="N28" i="13" s="1"/>
  <c r="O28" i="13" s="1"/>
  <c r="D45" i="13"/>
  <c r="O45" i="13" s="1"/>
  <c r="D37" i="4"/>
  <c r="M37" i="4" s="1"/>
  <c r="O62" i="3"/>
  <c r="D31" i="30"/>
  <c r="N31" i="30" s="1"/>
  <c r="O31" i="30" s="1"/>
  <c r="D52" i="14"/>
  <c r="N52" i="14" s="1"/>
  <c r="O52" i="14" s="1"/>
  <c r="D39" i="31"/>
  <c r="M39" i="31" s="1"/>
  <c r="M55" i="31" s="1"/>
  <c r="M57" i="31" s="1"/>
  <c r="D32" i="30"/>
  <c r="N32" i="30" s="1"/>
  <c r="O32" i="30" s="1"/>
  <c r="D28" i="4"/>
  <c r="N28" i="4" s="1"/>
  <c r="O28" i="4" s="1"/>
  <c r="D31" i="13"/>
  <c r="N31" i="13" s="1"/>
  <c r="O31" i="13" s="1"/>
  <c r="D29" i="13"/>
  <c r="N29" i="13" s="1"/>
  <c r="O29" i="13" s="1"/>
  <c r="D51" i="31"/>
  <c r="N51" i="31" s="1"/>
  <c r="O51" i="31" s="1"/>
  <c r="D38" i="30"/>
  <c r="N38" i="30" s="1"/>
  <c r="O38" i="30" s="1"/>
  <c r="D40" i="28"/>
  <c r="N40" i="28" s="1"/>
  <c r="O40" i="28" s="1"/>
  <c r="D49" i="30"/>
  <c r="N49" i="30" s="1"/>
  <c r="O49" i="30" s="1"/>
  <c r="D49" i="4"/>
  <c r="N49" i="4" s="1"/>
  <c r="O49" i="4" s="1"/>
  <c r="D37" i="16"/>
  <c r="L37" i="16" s="1"/>
  <c r="O37" i="16" s="1"/>
  <c r="D39" i="13"/>
  <c r="M39" i="13" s="1"/>
  <c r="M55" i="13" s="1"/>
  <c r="M57" i="13" s="1"/>
  <c r="D37" i="18"/>
  <c r="L37" i="18" s="1"/>
  <c r="O37" i="18" s="1"/>
  <c r="D26" i="4"/>
  <c r="N26" i="4" s="1"/>
  <c r="O26" i="4" s="1"/>
  <c r="D30" i="13"/>
  <c r="N30" i="13" s="1"/>
  <c r="O30" i="13" s="1"/>
  <c r="D32" i="13"/>
  <c r="N32" i="13" s="1"/>
  <c r="O32" i="13" s="1"/>
  <c r="D45" i="31"/>
  <c r="O45" i="31" s="1"/>
  <c r="D39" i="30"/>
  <c r="M39" i="30" s="1"/>
  <c r="M55" i="30" s="1"/>
  <c r="M57" i="30" s="1"/>
  <c r="D48" i="16"/>
  <c r="L48" i="16" s="1"/>
  <c r="O48" i="16" s="1"/>
  <c r="D37" i="26"/>
  <c r="D52" i="13"/>
  <c r="N52" i="13" s="1"/>
  <c r="O52" i="13" s="1"/>
  <c r="D52" i="30"/>
  <c r="N52" i="30" s="1"/>
  <c r="O52" i="30" s="1"/>
  <c r="D51" i="30"/>
  <c r="N51" i="30" s="1"/>
  <c r="O51" i="30" s="1"/>
  <c r="D29" i="30"/>
  <c r="N29" i="30" s="1"/>
  <c r="O29" i="30" s="1"/>
  <c r="D48" i="18"/>
  <c r="L48" i="18" s="1"/>
  <c r="O48" i="18" s="1"/>
  <c r="D24" i="4"/>
  <c r="N24" i="4" s="1"/>
  <c r="O24" i="4" s="1"/>
  <c r="D22" i="31"/>
  <c r="N22" i="31" s="1"/>
  <c r="O22" i="31" s="1"/>
  <c r="O23" i="31" s="1"/>
  <c r="D28" i="27"/>
  <c r="N28" i="27" s="1"/>
  <c r="D15" i="19"/>
  <c r="D28" i="19"/>
  <c r="D47" i="19" s="1"/>
  <c r="N47" i="19" s="1"/>
  <c r="I25" i="21"/>
  <c r="N25" i="21" s="1"/>
  <c r="O25" i="21" s="1"/>
  <c r="D27" i="21"/>
  <c r="N27" i="21" s="1"/>
  <c r="O27" i="21" s="1"/>
  <c r="I15" i="28"/>
  <c r="I15" i="27"/>
  <c r="D18" i="21"/>
  <c r="D28" i="21" s="1"/>
  <c r="N28" i="21" s="1"/>
  <c r="O28" i="21" s="1"/>
  <c r="D14" i="15"/>
  <c r="O55" i="19"/>
  <c r="O35" i="15"/>
  <c r="D37" i="28"/>
  <c r="N37" i="28" s="1"/>
  <c r="O37" i="28" s="1"/>
  <c r="D30" i="25"/>
  <c r="N30" i="25" s="1"/>
  <c r="O30" i="25" s="1"/>
  <c r="O60" i="25"/>
  <c r="D50" i="16"/>
  <c r="N50" i="16" s="1"/>
  <c r="O50" i="16" s="1"/>
  <c r="D28" i="24"/>
  <c r="N28" i="24" s="1"/>
  <c r="O28" i="24" s="1"/>
  <c r="D29" i="24"/>
  <c r="N29" i="24" s="1"/>
  <c r="O29" i="24" s="1"/>
  <c r="D51" i="17"/>
  <c r="N51" i="17" s="1"/>
  <c r="O51" i="17" s="1"/>
  <c r="D31" i="17"/>
  <c r="N31" i="17" s="1"/>
  <c r="O31" i="17" s="1"/>
  <c r="D34" i="17"/>
  <c r="L34" i="17" s="1"/>
  <c r="O34" i="17" s="1"/>
  <c r="D51" i="28"/>
  <c r="N51" i="28" s="1"/>
  <c r="O51" i="28" s="1"/>
  <c r="D37" i="11"/>
  <c r="L37" i="11" s="1"/>
  <c r="O37" i="11" s="1"/>
  <c r="D36" i="24"/>
  <c r="N36" i="24" s="1"/>
  <c r="O36" i="24" s="1"/>
  <c r="D36" i="28"/>
  <c r="N36" i="28" s="1"/>
  <c r="O36" i="28" s="1"/>
  <c r="D34" i="31"/>
  <c r="L34" i="31" s="1"/>
  <c r="O34" i="31" s="1"/>
  <c r="D43" i="28"/>
  <c r="N43" i="28" s="1"/>
  <c r="O43" i="28" s="1"/>
  <c r="D29" i="25"/>
  <c r="N29" i="25" s="1"/>
  <c r="O29" i="25" s="1"/>
  <c r="D42" i="24"/>
  <c r="N42" i="24" s="1"/>
  <c r="O42" i="24" s="1"/>
  <c r="D45" i="17"/>
  <c r="O45" i="17" s="1"/>
  <c r="D32" i="31"/>
  <c r="N32" i="31" s="1"/>
  <c r="O32" i="31" s="1"/>
  <c r="D28" i="25"/>
  <c r="N28" i="25" s="1"/>
  <c r="O28" i="25" s="1"/>
  <c r="D35" i="11"/>
  <c r="L35" i="11" s="1"/>
  <c r="O35" i="11" s="1"/>
  <c r="D29" i="31"/>
  <c r="N29" i="31" s="1"/>
  <c r="O29" i="31" s="1"/>
  <c r="D27" i="17"/>
  <c r="N27" i="17" s="1"/>
  <c r="O27" i="17" s="1"/>
  <c r="D16" i="28"/>
  <c r="D27" i="28" s="1"/>
  <c r="D30" i="31"/>
  <c r="N30" i="31" s="1"/>
  <c r="O30" i="31" s="1"/>
  <c r="D34" i="28"/>
  <c r="N34" i="28" s="1"/>
  <c r="O34" i="28" s="1"/>
  <c r="D34" i="27"/>
  <c r="N34" i="27" s="1"/>
  <c r="O34" i="27" s="1"/>
  <c r="D27" i="24"/>
  <c r="N27" i="24" s="1"/>
  <c r="O27" i="24" s="1"/>
  <c r="D40" i="17"/>
  <c r="N40" i="17" s="1"/>
  <c r="O40" i="17" s="1"/>
  <c r="D52" i="28"/>
  <c r="N52" i="28" s="1"/>
  <c r="O52" i="28" s="1"/>
  <c r="D36" i="27"/>
  <c r="N36" i="27" s="1"/>
  <c r="O36" i="27" s="1"/>
  <c r="D33" i="25"/>
  <c r="N33" i="25" s="1"/>
  <c r="O33" i="25" s="1"/>
  <c r="D34" i="24"/>
  <c r="M34" i="24" s="1"/>
  <c r="O34" i="24" s="1"/>
  <c r="D22" i="17"/>
  <c r="N22" i="17" s="1"/>
  <c r="O22" i="17" s="1"/>
  <c r="O23" i="17" s="1"/>
  <c r="D49" i="17"/>
  <c r="N49" i="17" s="1"/>
  <c r="O49" i="17" s="1"/>
  <c r="D22" i="25"/>
  <c r="N22" i="25" s="1"/>
  <c r="D38" i="31"/>
  <c r="N38" i="31" s="1"/>
  <c r="O38" i="31" s="1"/>
  <c r="D35" i="25"/>
  <c r="N35" i="25" s="1"/>
  <c r="O35" i="25" s="1"/>
  <c r="D28" i="17"/>
  <c r="N28" i="17" s="1"/>
  <c r="O28" i="17" s="1"/>
  <c r="D50" i="17"/>
  <c r="N50" i="17" s="1"/>
  <c r="O50" i="17" s="1"/>
  <c r="D50" i="31"/>
  <c r="N50" i="31" s="1"/>
  <c r="O50" i="31" s="1"/>
  <c r="D50" i="28"/>
  <c r="N50" i="28" s="1"/>
  <c r="O50" i="28" s="1"/>
  <c r="D31" i="25"/>
  <c r="N31" i="25" s="1"/>
  <c r="O31" i="25" s="1"/>
  <c r="N41" i="15"/>
  <c r="O41" i="15" s="1"/>
  <c r="D26" i="21"/>
  <c r="D37" i="29"/>
  <c r="N37" i="29" s="1"/>
  <c r="O37" i="29" s="1"/>
  <c r="D35" i="28"/>
  <c r="N35" i="28" s="1"/>
  <c r="O35" i="28" s="1"/>
  <c r="O56" i="24"/>
  <c r="D44" i="24"/>
  <c r="N44" i="24" s="1"/>
  <c r="O44" i="24" s="1"/>
  <c r="N34" i="19"/>
  <c r="O34" i="19" s="1"/>
  <c r="D30" i="17"/>
  <c r="N30" i="17" s="1"/>
  <c r="O30" i="17" s="1"/>
  <c r="D52" i="17"/>
  <c r="N52" i="17" s="1"/>
  <c r="O52" i="17" s="1"/>
  <c r="D31" i="31"/>
  <c r="N31" i="31" s="1"/>
  <c r="O31" i="31" s="1"/>
  <c r="O38" i="10"/>
  <c r="M54" i="10"/>
  <c r="M56" i="10" s="1"/>
  <c r="D44" i="7"/>
  <c r="N44" i="7" s="1"/>
  <c r="O44" i="7" s="1"/>
  <c r="D34" i="7"/>
  <c r="N34" i="7" s="1"/>
  <c r="O34" i="7" s="1"/>
  <c r="D43" i="7"/>
  <c r="M43" i="7" s="1"/>
  <c r="D49" i="7"/>
  <c r="O49" i="7" s="1"/>
  <c r="D33" i="7"/>
  <c r="N33" i="7" s="1"/>
  <c r="O33" i="7" s="1"/>
  <c r="D36" i="7"/>
  <c r="N36" i="7" s="1"/>
  <c r="O36" i="7" s="1"/>
  <c r="D32" i="7"/>
  <c r="N32" i="7" s="1"/>
  <c r="O32" i="7" s="1"/>
  <c r="D37" i="7"/>
  <c r="N37" i="7" s="1"/>
  <c r="O37" i="7" s="1"/>
  <c r="D45" i="26"/>
  <c r="O45" i="26" s="1"/>
  <c r="O63" i="7"/>
  <c r="D40" i="26"/>
  <c r="N40" i="26" s="1"/>
  <c r="O40" i="26" s="1"/>
  <c r="D26" i="7"/>
  <c r="N26" i="7" s="1"/>
  <c r="D32" i="26"/>
  <c r="N32" i="26" s="1"/>
  <c r="O32" i="26" s="1"/>
  <c r="D44" i="14"/>
  <c r="O44" i="14" s="1"/>
  <c r="D50" i="26"/>
  <c r="N50" i="26" s="1"/>
  <c r="O50" i="26" s="1"/>
  <c r="D27" i="26"/>
  <c r="N27" i="26" s="1"/>
  <c r="O27" i="26" s="1"/>
  <c r="D30" i="26"/>
  <c r="N30" i="26" s="1"/>
  <c r="O30" i="26" s="1"/>
  <c r="D42" i="36"/>
  <c r="D51" i="26"/>
  <c r="N51" i="26" s="1"/>
  <c r="O51" i="26" s="1"/>
  <c r="D34" i="13"/>
  <c r="L34" i="13" s="1"/>
  <c r="O34" i="13" s="1"/>
  <c r="D22" i="26"/>
  <c r="N22" i="26" s="1"/>
  <c r="O22" i="26" s="1"/>
  <c r="O23" i="26" s="1"/>
  <c r="D29" i="26"/>
  <c r="N29" i="26" s="1"/>
  <c r="O29" i="26" s="1"/>
  <c r="D37" i="13"/>
  <c r="L37" i="13" s="1"/>
  <c r="O37" i="13" s="1"/>
  <c r="D38" i="26"/>
  <c r="D31" i="26"/>
  <c r="N31" i="26" s="1"/>
  <c r="O31" i="26" s="1"/>
  <c r="D39" i="26"/>
  <c r="M39" i="26" s="1"/>
  <c r="D52" i="26"/>
  <c r="N52" i="26" s="1"/>
  <c r="O52" i="26" s="1"/>
  <c r="D49" i="26"/>
  <c r="N49" i="26" s="1"/>
  <c r="O49" i="26" s="1"/>
  <c r="N57" i="19"/>
  <c r="O57" i="19" s="1"/>
  <c r="I38" i="30"/>
  <c r="J38" i="30" s="1"/>
  <c r="I40" i="38"/>
  <c r="J40" i="38" s="1"/>
  <c r="I38" i="14"/>
  <c r="J38" i="14" s="1"/>
  <c r="I35" i="25"/>
  <c r="J35" i="25" s="1"/>
  <c r="N39" i="29"/>
  <c r="O39" i="29" s="1"/>
  <c r="I42" i="36"/>
  <c r="J42" i="36" s="1"/>
  <c r="N40" i="27"/>
  <c r="O40" i="27" s="1"/>
  <c r="N35" i="12"/>
  <c r="O35" i="12" s="1"/>
  <c r="I38" i="11"/>
  <c r="J38" i="11" s="1"/>
  <c r="I38" i="16"/>
  <c r="J38" i="16" s="1"/>
  <c r="I38" i="18"/>
  <c r="J38" i="18" s="1"/>
  <c r="I38" i="26"/>
  <c r="J38" i="26" s="1"/>
  <c r="I40" i="37"/>
  <c r="J40" i="37" s="1"/>
  <c r="I39" i="39"/>
  <c r="J39" i="39" s="1"/>
  <c r="N38" i="32"/>
  <c r="O38" i="32" s="1"/>
  <c r="I37" i="10"/>
  <c r="J37" i="10" s="1"/>
  <c r="I38" i="13"/>
  <c r="J38" i="13" s="1"/>
  <c r="N38" i="14"/>
  <c r="O38" i="14" s="1"/>
  <c r="I38" i="17"/>
  <c r="J38" i="17" s="1"/>
  <c r="N38" i="17" s="1"/>
  <c r="O38" i="17" s="1"/>
  <c r="N43" i="34"/>
  <c r="O43" i="34" s="1"/>
  <c r="I40" i="27"/>
  <c r="J40" i="27" s="1"/>
  <c r="I43" i="34"/>
  <c r="J43" i="34" s="1"/>
  <c r="I43" i="35"/>
  <c r="J43" i="35" s="1"/>
  <c r="N42" i="21"/>
  <c r="O42" i="21" s="1"/>
  <c r="I43" i="19"/>
  <c r="J43" i="19" s="1"/>
  <c r="I43" i="20"/>
  <c r="J43" i="20" s="1"/>
  <c r="I39" i="29"/>
  <c r="J39" i="29" s="1"/>
  <c r="N23" i="30"/>
  <c r="O22" i="30"/>
  <c r="O23" i="30" s="1"/>
  <c r="O65" i="27"/>
  <c r="D51" i="27"/>
  <c r="N51" i="27" s="1"/>
  <c r="O51" i="27" s="1"/>
  <c r="D52" i="27"/>
  <c r="N52" i="27" s="1"/>
  <c r="O52" i="27" s="1"/>
  <c r="D16" i="27"/>
  <c r="D27" i="27" s="1"/>
  <c r="D59" i="20"/>
  <c r="N59" i="20" s="1"/>
  <c r="O59" i="20" s="1"/>
  <c r="C18" i="38"/>
  <c r="D18" i="38" s="1"/>
  <c r="D31" i="1"/>
  <c r="D51" i="11"/>
  <c r="N51" i="11" s="1"/>
  <c r="O51" i="11" s="1"/>
  <c r="D50" i="11"/>
  <c r="N50" i="11" s="1"/>
  <c r="O50" i="11" s="1"/>
  <c r="D39" i="11"/>
  <c r="M39" i="11" s="1"/>
  <c r="D22" i="32"/>
  <c r="N22" i="32" s="1"/>
  <c r="D29" i="32"/>
  <c r="N29" i="32" s="1"/>
  <c r="O29" i="32" s="1"/>
  <c r="D32" i="32"/>
  <c r="N32" i="32" s="1"/>
  <c r="O32" i="32" s="1"/>
  <c r="D27" i="32"/>
  <c r="N27" i="32" s="1"/>
  <c r="O27" i="32" s="1"/>
  <c r="D28" i="32"/>
  <c r="N28" i="32" s="1"/>
  <c r="O28" i="32" s="1"/>
  <c r="D49" i="32"/>
  <c r="N49" i="32" s="1"/>
  <c r="O49" i="32" s="1"/>
  <c r="D52" i="32"/>
  <c r="N52" i="32" s="1"/>
  <c r="O52" i="32" s="1"/>
  <c r="D51" i="32"/>
  <c r="N51" i="32" s="1"/>
  <c r="O51" i="32" s="1"/>
  <c r="D34" i="32"/>
  <c r="L34" i="32" s="1"/>
  <c r="O34" i="32" s="1"/>
  <c r="D50" i="32"/>
  <c r="N50" i="32" s="1"/>
  <c r="O50" i="32" s="1"/>
  <c r="D43" i="9"/>
  <c r="M43" i="9" s="1"/>
  <c r="O63" i="9"/>
  <c r="D37" i="9"/>
  <c r="N37" i="9" s="1"/>
  <c r="O37" i="9" s="1"/>
  <c r="D55" i="9"/>
  <c r="N55" i="9" s="1"/>
  <c r="O55" i="9" s="1"/>
  <c r="D35" i="9"/>
  <c r="N35" i="9" s="1"/>
  <c r="O35" i="9" s="1"/>
  <c r="D45" i="9"/>
  <c r="N45" i="9" s="1"/>
  <c r="O45" i="9" s="1"/>
  <c r="D32" i="9"/>
  <c r="N32" i="9" s="1"/>
  <c r="O32" i="9" s="1"/>
  <c r="D34" i="9"/>
  <c r="N34" i="9" s="1"/>
  <c r="O34" i="9" s="1"/>
  <c r="D26" i="9"/>
  <c r="N26" i="9" s="1"/>
  <c r="O26" i="9" s="1"/>
  <c r="O39" i="7"/>
  <c r="D32" i="22"/>
  <c r="N32" i="22" s="1"/>
  <c r="O32" i="22" s="1"/>
  <c r="D33" i="22"/>
  <c r="N33" i="22" s="1"/>
  <c r="O33" i="22" s="1"/>
  <c r="D48" i="22"/>
  <c r="N48" i="22" s="1"/>
  <c r="O48" i="22" s="1"/>
  <c r="D41" i="22"/>
  <c r="N41" i="22" s="1"/>
  <c r="O41" i="22" s="1"/>
  <c r="D26" i="22"/>
  <c r="N26" i="22" s="1"/>
  <c r="N27" i="22" s="1"/>
  <c r="D36" i="22" s="1"/>
  <c r="N36" i="22" s="1"/>
  <c r="O36" i="22" s="1"/>
  <c r="D37" i="30"/>
  <c r="L37" i="30" s="1"/>
  <c r="O37" i="30" s="1"/>
  <c r="D35" i="30"/>
  <c r="L35" i="30" s="1"/>
  <c r="O35" i="30" s="1"/>
  <c r="O35" i="16"/>
  <c r="D38" i="15"/>
  <c r="N38" i="15" s="1"/>
  <c r="O38" i="15" s="1"/>
  <c r="D29" i="15"/>
  <c r="D30" i="15"/>
  <c r="D50" i="15"/>
  <c r="N50" i="15" s="1"/>
  <c r="O50" i="15" s="1"/>
  <c r="D31" i="15"/>
  <c r="N31" i="15" s="1"/>
  <c r="O31" i="15" s="1"/>
  <c r="D51" i="15"/>
  <c r="N51" i="15" s="1"/>
  <c r="O51" i="15" s="1"/>
  <c r="N31" i="14"/>
  <c r="O31" i="14" s="1"/>
  <c r="D45" i="7"/>
  <c r="N45" i="7" s="1"/>
  <c r="O45" i="7" s="1"/>
  <c r="D35" i="7"/>
  <c r="N35" i="7" s="1"/>
  <c r="O35" i="7" s="1"/>
  <c r="D53" i="7"/>
  <c r="N53" i="7" s="1"/>
  <c r="O53" i="7" s="1"/>
  <c r="D31" i="3"/>
  <c r="N31" i="3" s="1"/>
  <c r="O31" i="3" s="1"/>
  <c r="D48" i="3"/>
  <c r="O48" i="3" s="1"/>
  <c r="D35" i="3"/>
  <c r="N35" i="3" s="1"/>
  <c r="O35" i="3" s="1"/>
  <c r="D52" i="3"/>
  <c r="N52" i="3" s="1"/>
  <c r="O52" i="3" s="1"/>
  <c r="D36" i="3"/>
  <c r="N36" i="3" s="1"/>
  <c r="O36" i="3" s="1"/>
  <c r="D26" i="3"/>
  <c r="N26" i="3" s="1"/>
  <c r="D32" i="3"/>
  <c r="N32" i="3" s="1"/>
  <c r="O32" i="3" s="1"/>
  <c r="D44" i="3"/>
  <c r="N44" i="3" s="1"/>
  <c r="O44" i="3" s="1"/>
  <c r="D43" i="3"/>
  <c r="N43" i="3" s="1"/>
  <c r="O43" i="3" s="1"/>
  <c r="D27" i="16"/>
  <c r="N27" i="16" s="1"/>
  <c r="O27" i="16" s="1"/>
  <c r="D38" i="16"/>
  <c r="N38" i="16" s="1"/>
  <c r="O38" i="16" s="1"/>
  <c r="D40" i="16"/>
  <c r="N40" i="16" s="1"/>
  <c r="O40" i="16" s="1"/>
  <c r="D51" i="16"/>
  <c r="N51" i="16" s="1"/>
  <c r="O51" i="16" s="1"/>
  <c r="D32" i="16"/>
  <c r="N32" i="16" s="1"/>
  <c r="O32" i="16" s="1"/>
  <c r="D45" i="16"/>
  <c r="O45" i="16" s="1"/>
  <c r="D28" i="16"/>
  <c r="N28" i="16" s="1"/>
  <c r="O28" i="16" s="1"/>
  <c r="O39" i="17"/>
  <c r="M55" i="17"/>
  <c r="M57" i="17" s="1"/>
  <c r="D44" i="19"/>
  <c r="M44" i="19" s="1"/>
  <c r="O44" i="19" s="1"/>
  <c r="D46" i="19"/>
  <c r="D35" i="19"/>
  <c r="D58" i="19"/>
  <c r="N58" i="19" s="1"/>
  <c r="O58" i="19" s="1"/>
  <c r="D43" i="19"/>
  <c r="D37" i="19"/>
  <c r="D49" i="10"/>
  <c r="N49" i="10" s="1"/>
  <c r="O49" i="10" s="1"/>
  <c r="D25" i="24"/>
  <c r="N25" i="24" s="1"/>
  <c r="O25" i="24" s="1"/>
  <c r="D51" i="29"/>
  <c r="N51" i="29" s="1"/>
  <c r="O51" i="29" s="1"/>
  <c r="D50" i="30"/>
  <c r="N50" i="30" s="1"/>
  <c r="O50" i="30" s="1"/>
  <c r="D40" i="30"/>
  <c r="N40" i="30" s="1"/>
  <c r="O40" i="30" s="1"/>
  <c r="D33" i="36"/>
  <c r="D50" i="36" s="1"/>
  <c r="O50" i="36" s="1"/>
  <c r="D50" i="29"/>
  <c r="N50" i="29" s="1"/>
  <c r="O50" i="29" s="1"/>
  <c r="D49" i="31"/>
  <c r="N49" i="31" s="1"/>
  <c r="O49" i="31" s="1"/>
  <c r="D27" i="31"/>
  <c r="N27" i="31" s="1"/>
  <c r="O27" i="31" s="1"/>
  <c r="D14" i="14"/>
  <c r="M45" i="35"/>
  <c r="O45" i="35" s="1"/>
  <c r="D47" i="35"/>
  <c r="N47" i="35" s="1"/>
  <c r="O47" i="35" s="1"/>
  <c r="D18" i="29"/>
  <c r="D28" i="29" s="1"/>
  <c r="N28" i="29" s="1"/>
  <c r="O28" i="29" s="1"/>
  <c r="M45" i="34"/>
  <c r="O45" i="34" s="1"/>
  <c r="D14" i="20"/>
  <c r="D28" i="20" s="1"/>
  <c r="N28" i="20" s="1"/>
  <c r="G31" i="4"/>
  <c r="C10" i="4"/>
  <c r="G33" i="4"/>
  <c r="J33" i="4" s="1"/>
  <c r="G32" i="4"/>
  <c r="O24" i="14"/>
  <c r="O25" i="14" s="1"/>
  <c r="N25" i="14"/>
  <c r="O39" i="18"/>
  <c r="M55" i="18"/>
  <c r="M57" i="18" s="1"/>
  <c r="O38" i="6"/>
  <c r="O39" i="9"/>
  <c r="O34" i="10"/>
  <c r="L54" i="10"/>
  <c r="L56" i="10" s="1"/>
  <c r="O64" i="10" s="1"/>
  <c r="O34" i="11"/>
  <c r="O40" i="21"/>
  <c r="L61" i="21"/>
  <c r="L63" i="21" s="1"/>
  <c r="O70" i="21" s="1"/>
  <c r="O22" i="13"/>
  <c r="O23" i="13" s="1"/>
  <c r="N23" i="13"/>
  <c r="D46" i="15"/>
  <c r="O33" i="5"/>
  <c r="L51" i="5"/>
  <c r="L53" i="5" s="1"/>
  <c r="O60" i="5" s="1"/>
  <c r="D41" i="15"/>
  <c r="N46" i="15"/>
  <c r="O46" i="15" s="1"/>
  <c r="O24" i="15"/>
  <c r="O25" i="15" s="1"/>
  <c r="D52" i="15"/>
  <c r="N52" i="15" s="1"/>
  <c r="O52" i="15" s="1"/>
  <c r="L53" i="12"/>
  <c r="L55" i="12" s="1"/>
  <c r="D34" i="15"/>
  <c r="N34" i="15" s="1"/>
  <c r="O34" i="15" s="1"/>
  <c r="D47" i="6"/>
  <c r="N47" i="6" s="1"/>
  <c r="O47" i="6" s="1"/>
  <c r="D37" i="6"/>
  <c r="N37" i="6" s="1"/>
  <c r="O37" i="6" s="1"/>
  <c r="D49" i="39"/>
  <c r="N49" i="39" s="1"/>
  <c r="O49" i="39" s="1"/>
  <c r="O64" i="39"/>
  <c r="D42" i="39"/>
  <c r="N42" i="39" s="1"/>
  <c r="O42" i="39" s="1"/>
  <c r="D40" i="39"/>
  <c r="M40" i="39" s="1"/>
  <c r="O40" i="39" s="1"/>
  <c r="D36" i="39"/>
  <c r="N36" i="39" s="1"/>
  <c r="O36" i="39" s="1"/>
  <c r="D27" i="18"/>
  <c r="N27" i="18" s="1"/>
  <c r="D30" i="18"/>
  <c r="N30" i="18" s="1"/>
  <c r="O30" i="18" s="1"/>
  <c r="D38" i="18"/>
  <c r="N38" i="18" s="1"/>
  <c r="O38" i="18" s="1"/>
  <c r="D28" i="18"/>
  <c r="N28" i="18" s="1"/>
  <c r="O28" i="18" s="1"/>
  <c r="D40" i="18"/>
  <c r="N40" i="18" s="1"/>
  <c r="O40" i="18" s="1"/>
  <c r="D51" i="18"/>
  <c r="N51" i="18" s="1"/>
  <c r="O51" i="18" s="1"/>
  <c r="D32" i="18"/>
  <c r="N32" i="18" s="1"/>
  <c r="O32" i="18" s="1"/>
  <c r="D34" i="18"/>
  <c r="L34" i="18" s="1"/>
  <c r="D52" i="18"/>
  <c r="N52" i="18" s="1"/>
  <c r="O52" i="18" s="1"/>
  <c r="D22" i="18"/>
  <c r="N22" i="18" s="1"/>
  <c r="D50" i="18"/>
  <c r="N50" i="18" s="1"/>
  <c r="O50" i="18" s="1"/>
  <c r="O63" i="23"/>
  <c r="D26" i="23"/>
  <c r="N26" i="23" s="1"/>
  <c r="D19" i="23"/>
  <c r="N52" i="38"/>
  <c r="O52" i="38" s="1"/>
  <c r="D16" i="38"/>
  <c r="D34" i="26"/>
  <c r="D35" i="26"/>
  <c r="D49" i="11"/>
  <c r="N49" i="11" s="1"/>
  <c r="O49" i="11" s="1"/>
  <c r="D27" i="11"/>
  <c r="N27" i="11" s="1"/>
  <c r="D38" i="11"/>
  <c r="N38" i="11" s="1"/>
  <c r="O38" i="11" s="1"/>
  <c r="D31" i="11"/>
  <c r="N31" i="11" s="1"/>
  <c r="O31" i="11" s="1"/>
  <c r="D29" i="11"/>
  <c r="N29" i="11" s="1"/>
  <c r="O29" i="11" s="1"/>
  <c r="D32" i="11"/>
  <c r="N32" i="11" s="1"/>
  <c r="O32" i="11" s="1"/>
  <c r="D30" i="11"/>
  <c r="N30" i="11" s="1"/>
  <c r="O30" i="11" s="1"/>
  <c r="D22" i="11"/>
  <c r="N22" i="11" s="1"/>
  <c r="D40" i="11"/>
  <c r="N40" i="11" s="1"/>
  <c r="O40" i="11" s="1"/>
  <c r="D52" i="11"/>
  <c r="N52" i="11" s="1"/>
  <c r="O52" i="11" s="1"/>
  <c r="I15" i="39"/>
  <c r="D27" i="4"/>
  <c r="N27" i="4" s="1"/>
  <c r="O27" i="4" s="1"/>
  <c r="D38" i="5"/>
  <c r="N38" i="5" s="1"/>
  <c r="O38" i="5" s="1"/>
  <c r="D48" i="5"/>
  <c r="N48" i="5" s="1"/>
  <c r="O48" i="5" s="1"/>
  <c r="D27" i="5"/>
  <c r="N27" i="5" s="1"/>
  <c r="O27" i="5" s="1"/>
  <c r="D36" i="5"/>
  <c r="M36" i="5" s="1"/>
  <c r="D29" i="5"/>
  <c r="N29" i="5" s="1"/>
  <c r="O29" i="5" s="1"/>
  <c r="D48" i="31"/>
  <c r="L48" i="31" s="1"/>
  <c r="O48" i="31" s="1"/>
  <c r="D37" i="31"/>
  <c r="L37" i="31" s="1"/>
  <c r="O37" i="31" s="1"/>
  <c r="D35" i="31"/>
  <c r="L35" i="31" s="1"/>
  <c r="D25" i="4"/>
  <c r="N25" i="4" s="1"/>
  <c r="D38" i="4"/>
  <c r="N38" i="4" s="1"/>
  <c r="O38" i="4" s="1"/>
  <c r="D19" i="4"/>
  <c r="N19" i="4" s="1"/>
  <c r="D39" i="4"/>
  <c r="N39" i="4" s="1"/>
  <c r="O39" i="4" s="1"/>
  <c r="D33" i="4"/>
  <c r="D50" i="10"/>
  <c r="N50" i="10" s="1"/>
  <c r="O50" i="10" s="1"/>
  <c r="D27" i="10"/>
  <c r="N27" i="10" s="1"/>
  <c r="D32" i="10"/>
  <c r="N32" i="10" s="1"/>
  <c r="O32" i="10" s="1"/>
  <c r="D28" i="10"/>
  <c r="N28" i="10" s="1"/>
  <c r="O28" i="10" s="1"/>
  <c r="D37" i="10"/>
  <c r="N37" i="10" s="1"/>
  <c r="O37" i="10" s="1"/>
  <c r="D22" i="10"/>
  <c r="N22" i="10" s="1"/>
  <c r="D31" i="10"/>
  <c r="N31" i="10" s="1"/>
  <c r="O31" i="10" s="1"/>
  <c r="D48" i="10"/>
  <c r="N48" i="10" s="1"/>
  <c r="O48" i="10" s="1"/>
  <c r="D45" i="25"/>
  <c r="N45" i="25" s="1"/>
  <c r="O45" i="25" s="1"/>
  <c r="D32" i="25"/>
  <c r="N32" i="25" s="1"/>
  <c r="O32" i="25" s="1"/>
  <c r="D56" i="34"/>
  <c r="N56" i="34" s="1"/>
  <c r="O56" i="34" s="1"/>
  <c r="D35" i="34"/>
  <c r="D46" i="34"/>
  <c r="O65" i="37"/>
  <c r="I15" i="37"/>
  <c r="D34" i="4"/>
  <c r="L34" i="4" s="1"/>
  <c r="O34" i="4" s="1"/>
  <c r="D31" i="16"/>
  <c r="N31" i="16" s="1"/>
  <c r="O31" i="16" s="1"/>
  <c r="D22" i="16"/>
  <c r="N22" i="16" s="1"/>
  <c r="D39" i="16"/>
  <c r="M39" i="16" s="1"/>
  <c r="D49" i="16"/>
  <c r="N49" i="16" s="1"/>
  <c r="O49" i="16" s="1"/>
  <c r="D29" i="16"/>
  <c r="N29" i="16" s="1"/>
  <c r="D43" i="27"/>
  <c r="N43" i="27" s="1"/>
  <c r="O43" i="27" s="1"/>
  <c r="D50" i="27"/>
  <c r="N50" i="27" s="1"/>
  <c r="O50" i="27" s="1"/>
  <c r="D37" i="27"/>
  <c r="D35" i="27"/>
  <c r="N35" i="27" s="1"/>
  <c r="O35" i="27" s="1"/>
  <c r="D41" i="27"/>
  <c r="M41" i="27" s="1"/>
  <c r="O41" i="27" s="1"/>
  <c r="D48" i="32"/>
  <c r="L48" i="32" s="1"/>
  <c r="O48" i="32" s="1"/>
  <c r="D37" i="32"/>
  <c r="L37" i="32" s="1"/>
  <c r="O37" i="32" s="1"/>
  <c r="D35" i="32"/>
  <c r="L35" i="32" s="1"/>
  <c r="D34" i="34"/>
  <c r="D51" i="34" s="1"/>
  <c r="D43" i="35"/>
  <c r="N43" i="35" s="1"/>
  <c r="O43" i="35" s="1"/>
  <c r="D56" i="35"/>
  <c r="N56" i="35" s="1"/>
  <c r="O56" i="35" s="1"/>
  <c r="D36" i="35"/>
  <c r="N36" i="35" s="1"/>
  <c r="O36" i="35" s="1"/>
  <c r="D34" i="35"/>
  <c r="D51" i="35" s="1"/>
  <c r="O51" i="35" s="1"/>
  <c r="D57" i="35"/>
  <c r="N57" i="35" s="1"/>
  <c r="O57" i="35" s="1"/>
  <c r="D46" i="35"/>
  <c r="N46" i="35" s="1"/>
  <c r="O46" i="35" s="1"/>
  <c r="D35" i="22"/>
  <c r="N35" i="22" s="1"/>
  <c r="O35" i="22" s="1"/>
  <c r="D37" i="22"/>
  <c r="N37" i="22" s="1"/>
  <c r="O37" i="22" s="1"/>
  <c r="D31" i="22"/>
  <c r="N31" i="22" s="1"/>
  <c r="D27" i="35"/>
  <c r="N20" i="5"/>
  <c r="O20" i="5" s="1"/>
  <c r="O21" i="5" s="1"/>
  <c r="I15" i="38"/>
  <c r="N20" i="24"/>
  <c r="O20" i="24" s="1"/>
  <c r="O21" i="24" s="1"/>
  <c r="C18" i="37"/>
  <c r="D18" i="37" s="1"/>
  <c r="C18" i="28"/>
  <c r="D18" i="28" s="1"/>
  <c r="D29" i="28" s="1"/>
  <c r="N29" i="28" s="1"/>
  <c r="O29" i="28" s="1"/>
  <c r="C18" i="35"/>
  <c r="D18" i="35" s="1"/>
  <c r="D29" i="35" s="1"/>
  <c r="N29" i="35" s="1"/>
  <c r="O29" i="35" s="1"/>
  <c r="D57" i="36"/>
  <c r="N57" i="36" s="1"/>
  <c r="O57" i="36" s="1"/>
  <c r="D45" i="36"/>
  <c r="N45" i="36" s="1"/>
  <c r="O45" i="36" s="1"/>
  <c r="D43" i="36"/>
  <c r="M43" i="36" s="1"/>
  <c r="O43" i="36" s="1"/>
  <c r="O27" i="9"/>
  <c r="D41" i="29"/>
  <c r="M41" i="29" s="1"/>
  <c r="D42" i="27"/>
  <c r="M42" i="27" s="1"/>
  <c r="I15" i="34"/>
  <c r="I25" i="29"/>
  <c r="D14" i="28"/>
  <c r="D45" i="19"/>
  <c r="M45" i="19" s="1"/>
  <c r="D27" i="29"/>
  <c r="N27" i="29" s="1"/>
  <c r="O27" i="29" s="1"/>
  <c r="I15" i="35"/>
  <c r="N37" i="37"/>
  <c r="O37" i="37" s="1"/>
  <c r="M41" i="37"/>
  <c r="J49" i="37"/>
  <c r="N52" i="37"/>
  <c r="O52" i="37" s="1"/>
  <c r="O26" i="38"/>
  <c r="N40" i="38"/>
  <c r="O40" i="38" s="1"/>
  <c r="D14" i="39"/>
  <c r="D16" i="37"/>
  <c r="D33" i="39"/>
  <c r="N33" i="39" s="1"/>
  <c r="N40" i="37"/>
  <c r="O40" i="37" s="1"/>
  <c r="N51" i="37"/>
  <c r="O51" i="37" s="1"/>
  <c r="O65" i="38"/>
  <c r="D51" i="39"/>
  <c r="N51" i="39" s="1"/>
  <c r="O51" i="39" s="1"/>
  <c r="D17" i="37"/>
  <c r="N50" i="37"/>
  <c r="O50" i="37" s="1"/>
  <c r="D15" i="38"/>
  <c r="M42" i="38" s="1"/>
  <c r="O42" i="38" s="1"/>
  <c r="D50" i="39"/>
  <c r="N50" i="39" s="1"/>
  <c r="O50" i="39" s="1"/>
  <c r="D16" i="39"/>
  <c r="D35" i="39"/>
  <c r="N35" i="39" s="1"/>
  <c r="O35" i="39" s="1"/>
  <c r="D39" i="39"/>
  <c r="D15" i="37"/>
  <c r="M42" i="37" s="1"/>
  <c r="O42" i="37" s="1"/>
  <c r="N37" i="38"/>
  <c r="O37" i="38" s="1"/>
  <c r="O39" i="36"/>
  <c r="D14" i="36"/>
  <c r="D44" i="36" s="1"/>
  <c r="L54" i="36"/>
  <c r="O54" i="36" s="1"/>
  <c r="D56" i="36"/>
  <c r="N56" i="36" s="1"/>
  <c r="O56" i="36" s="1"/>
  <c r="D16" i="36"/>
  <c r="D55" i="36"/>
  <c r="N55" i="36" s="1"/>
  <c r="O55" i="36" s="1"/>
  <c r="O40" i="35"/>
  <c r="O44" i="35"/>
  <c r="J50" i="35"/>
  <c r="D37" i="35"/>
  <c r="D58" i="35"/>
  <c r="N58" i="35" s="1"/>
  <c r="O58" i="35" s="1"/>
  <c r="L62" i="34"/>
  <c r="L64" i="34" s="1"/>
  <c r="O71" i="34" s="1"/>
  <c r="O41" i="34"/>
  <c r="D37" i="34"/>
  <c r="N37" i="34" s="1"/>
  <c r="O37" i="34" s="1"/>
  <c r="D16" i="34"/>
  <c r="D44" i="34"/>
  <c r="M44" i="34" s="1"/>
  <c r="D36" i="34"/>
  <c r="D58" i="34"/>
  <c r="N58" i="34" s="1"/>
  <c r="O58" i="34" s="1"/>
  <c r="J54" i="34"/>
  <c r="D57" i="34"/>
  <c r="N57" i="34" s="1"/>
  <c r="O57" i="34" s="1"/>
  <c r="M52" i="8" l="1"/>
  <c r="M54" i="8" s="1"/>
  <c r="D50" i="6"/>
  <c r="N50" i="6" s="1"/>
  <c r="O50" i="6" s="1"/>
  <c r="O20" i="8"/>
  <c r="O21" i="8" s="1"/>
  <c r="D37" i="36"/>
  <c r="N37" i="36" s="1"/>
  <c r="O37" i="36" s="1"/>
  <c r="O39" i="14"/>
  <c r="N34" i="38"/>
  <c r="O39" i="32"/>
  <c r="L55" i="15"/>
  <c r="L57" i="15" s="1"/>
  <c r="O64" i="15" s="1"/>
  <c r="N23" i="17"/>
  <c r="D33" i="17" s="1"/>
  <c r="N33" i="17" s="1"/>
  <c r="D33" i="14"/>
  <c r="N33" i="14" s="1"/>
  <c r="O33" i="14" s="1"/>
  <c r="M53" i="22"/>
  <c r="M55" i="22" s="1"/>
  <c r="D38" i="38"/>
  <c r="N38" i="38" s="1"/>
  <c r="O38" i="38" s="1"/>
  <c r="L55" i="14"/>
  <c r="L57" i="14" s="1"/>
  <c r="O64" i="14" s="1"/>
  <c r="L62" i="19"/>
  <c r="L64" i="19" s="1"/>
  <c r="O71" i="19" s="1"/>
  <c r="L52" i="8"/>
  <c r="L54" i="8" s="1"/>
  <c r="O62" i="8" s="1"/>
  <c r="L58" i="6"/>
  <c r="L60" i="6" s="1"/>
  <c r="O68" i="6" s="1"/>
  <c r="L62" i="20"/>
  <c r="L64" i="20" s="1"/>
  <c r="O71" i="20" s="1"/>
  <c r="D38" i="22"/>
  <c r="N38" i="22" s="1"/>
  <c r="O38" i="22" s="1"/>
  <c r="O43" i="6"/>
  <c r="D38" i="20"/>
  <c r="N38" i="20" s="1"/>
  <c r="O38" i="20" s="1"/>
  <c r="L58" i="7"/>
  <c r="L60" i="7" s="1"/>
  <c r="O68" i="7" s="1"/>
  <c r="M50" i="25"/>
  <c r="M52" i="25" s="1"/>
  <c r="O39" i="15"/>
  <c r="N23" i="31"/>
  <c r="D46" i="31" s="1"/>
  <c r="N46" i="31" s="1"/>
  <c r="O46" i="31" s="1"/>
  <c r="D18" i="39"/>
  <c r="D28" i="39" s="1"/>
  <c r="N28" i="39" s="1"/>
  <c r="O28" i="39" s="1"/>
  <c r="D41" i="39"/>
  <c r="D27" i="39"/>
  <c r="D43" i="39" s="1"/>
  <c r="N43" i="20"/>
  <c r="O43" i="20" s="1"/>
  <c r="D34" i="36"/>
  <c r="D51" i="36" s="1"/>
  <c r="O51" i="36" s="1"/>
  <c r="N34" i="37"/>
  <c r="O34" i="37" s="1"/>
  <c r="D52" i="20"/>
  <c r="O52" i="20" s="1"/>
  <c r="N35" i="20"/>
  <c r="O35" i="20" s="1"/>
  <c r="D53" i="37"/>
  <c r="D27" i="37"/>
  <c r="L57" i="3"/>
  <c r="L59" i="3" s="1"/>
  <c r="O67" i="3" s="1"/>
  <c r="D27" i="38"/>
  <c r="D53" i="38"/>
  <c r="N53" i="38" s="1"/>
  <c r="O53" i="38" s="1"/>
  <c r="D29" i="38"/>
  <c r="N29" i="38" s="1"/>
  <c r="O29" i="38" s="1"/>
  <c r="D29" i="37"/>
  <c r="N29" i="37" s="1"/>
  <c r="O29" i="37" s="1"/>
  <c r="N28" i="19"/>
  <c r="D46" i="21"/>
  <c r="N46" i="21" s="1"/>
  <c r="O46" i="21" s="1"/>
  <c r="J25" i="21"/>
  <c r="N35" i="38"/>
  <c r="O35" i="38" s="1"/>
  <c r="D45" i="14"/>
  <c r="O45" i="14" s="1"/>
  <c r="N30" i="14"/>
  <c r="O30" i="14" s="1"/>
  <c r="L62" i="35"/>
  <c r="L64" i="35" s="1"/>
  <c r="O71" i="35" s="1"/>
  <c r="D34" i="39"/>
  <c r="N34" i="39" s="1"/>
  <c r="O34" i="39" s="1"/>
  <c r="M53" i="12"/>
  <c r="M55" i="12" s="1"/>
  <c r="D35" i="35"/>
  <c r="N34" i="21"/>
  <c r="O34" i="21" s="1"/>
  <c r="N29" i="21"/>
  <c r="D48" i="21" s="1"/>
  <c r="D59" i="19"/>
  <c r="N59" i="19" s="1"/>
  <c r="O59" i="19" s="1"/>
  <c r="D43" i="12"/>
  <c r="O43" i="12" s="1"/>
  <c r="N26" i="12"/>
  <c r="O26" i="12" s="1"/>
  <c r="D30" i="12"/>
  <c r="N30" i="12" s="1"/>
  <c r="O30" i="12" s="1"/>
  <c r="N25" i="12"/>
  <c r="O25" i="12" s="1"/>
  <c r="D42" i="12"/>
  <c r="O42" i="12" s="1"/>
  <c r="N38" i="13"/>
  <c r="O38" i="13" s="1"/>
  <c r="D29" i="12"/>
  <c r="N29" i="12" s="1"/>
  <c r="O29" i="12" s="1"/>
  <c r="M61" i="21"/>
  <c r="M63" i="21" s="1"/>
  <c r="D44" i="22"/>
  <c r="N44" i="22" s="1"/>
  <c r="O44" i="22" s="1"/>
  <c r="D46" i="22"/>
  <c r="N46" i="22" s="1"/>
  <c r="O46" i="22" s="1"/>
  <c r="D40" i="12"/>
  <c r="N40" i="12" s="1"/>
  <c r="O40" i="12" s="1"/>
  <c r="D44" i="12"/>
  <c r="N44" i="12" s="1"/>
  <c r="O44" i="12" s="1"/>
  <c r="O26" i="22"/>
  <c r="O27" i="22" s="1"/>
  <c r="L55" i="16"/>
  <c r="L57" i="16" s="1"/>
  <c r="O65" i="16" s="1"/>
  <c r="O39" i="13"/>
  <c r="O39" i="31"/>
  <c r="L58" i="9"/>
  <c r="L60" i="9" s="1"/>
  <c r="O68" i="9" s="1"/>
  <c r="L33" i="4"/>
  <c r="O33" i="4" s="1"/>
  <c r="N23" i="26"/>
  <c r="D46" i="26" s="1"/>
  <c r="N46" i="26" s="1"/>
  <c r="O46" i="26" s="1"/>
  <c r="L55" i="11"/>
  <c r="L57" i="11" s="1"/>
  <c r="O65" i="11" s="1"/>
  <c r="L55" i="13"/>
  <c r="L57" i="13" s="1"/>
  <c r="O65" i="13" s="1"/>
  <c r="O42" i="3"/>
  <c r="M57" i="3"/>
  <c r="M59" i="3" s="1"/>
  <c r="D41" i="8"/>
  <c r="N41" i="8" s="1"/>
  <c r="O41" i="8" s="1"/>
  <c r="D44" i="8"/>
  <c r="N44" i="8" s="1"/>
  <c r="O44" i="8" s="1"/>
  <c r="D31" i="8"/>
  <c r="N31" i="8" s="1"/>
  <c r="O39" i="30"/>
  <c r="N28" i="9"/>
  <c r="D47" i="9" s="1"/>
  <c r="N47" i="9" s="1"/>
  <c r="O47" i="9" s="1"/>
  <c r="O37" i="4"/>
  <c r="M52" i="4"/>
  <c r="M54" i="4" s="1"/>
  <c r="O28" i="9"/>
  <c r="D44" i="27"/>
  <c r="N44" i="27" s="1"/>
  <c r="O44" i="27" s="1"/>
  <c r="D45" i="20"/>
  <c r="M45" i="20" s="1"/>
  <c r="O45" i="20" s="1"/>
  <c r="D53" i="28"/>
  <c r="N53" i="28" s="1"/>
  <c r="O53" i="28" s="1"/>
  <c r="D43" i="31"/>
  <c r="N43" i="31" s="1"/>
  <c r="O43" i="31" s="1"/>
  <c r="D42" i="31"/>
  <c r="N42" i="31" s="1"/>
  <c r="O42" i="31" s="1"/>
  <c r="D43" i="22"/>
  <c r="N43" i="22" s="1"/>
  <c r="O43" i="22" s="1"/>
  <c r="N34" i="34"/>
  <c r="O34" i="34" s="1"/>
  <c r="D38" i="28"/>
  <c r="N38" i="28" s="1"/>
  <c r="O38" i="28" s="1"/>
  <c r="M47" i="24"/>
  <c r="M49" i="24" s="1"/>
  <c r="L55" i="17"/>
  <c r="L57" i="17" s="1"/>
  <c r="O65" i="17" s="1"/>
  <c r="O26" i="7"/>
  <c r="O28" i="7" s="1"/>
  <c r="N28" i="7"/>
  <c r="N38" i="26"/>
  <c r="O38" i="26" s="1"/>
  <c r="M58" i="7"/>
  <c r="M60" i="7" s="1"/>
  <c r="O43" i="7"/>
  <c r="L55" i="30"/>
  <c r="L57" i="30" s="1"/>
  <c r="O65" i="30" s="1"/>
  <c r="M55" i="26"/>
  <c r="M57" i="26" s="1"/>
  <c r="O39" i="26"/>
  <c r="N42" i="36"/>
  <c r="O42" i="36" s="1"/>
  <c r="N39" i="39"/>
  <c r="O39" i="39" s="1"/>
  <c r="N43" i="19"/>
  <c r="O43" i="19" s="1"/>
  <c r="D52" i="19"/>
  <c r="N35" i="19"/>
  <c r="O35" i="19" s="1"/>
  <c r="O43" i="9"/>
  <c r="M58" i="9"/>
  <c r="M60" i="9" s="1"/>
  <c r="N27" i="3"/>
  <c r="O26" i="3"/>
  <c r="O27" i="3" s="1"/>
  <c r="D53" i="27"/>
  <c r="N53" i="27" s="1"/>
  <c r="O53" i="27" s="1"/>
  <c r="O22" i="32"/>
  <c r="O23" i="32" s="1"/>
  <c r="N23" i="32"/>
  <c r="D37" i="39"/>
  <c r="N37" i="39" s="1"/>
  <c r="O37" i="39" s="1"/>
  <c r="M55" i="11"/>
  <c r="M57" i="11" s="1"/>
  <c r="O39" i="11"/>
  <c r="N29" i="15"/>
  <c r="O29" i="15" s="1"/>
  <c r="D44" i="15"/>
  <c r="O44" i="15" s="1"/>
  <c r="N37" i="19"/>
  <c r="O37" i="19" s="1"/>
  <c r="D38" i="19"/>
  <c r="N38" i="19" s="1"/>
  <c r="O38" i="19" s="1"/>
  <c r="D33" i="15"/>
  <c r="N33" i="15" s="1"/>
  <c r="O33" i="15" s="1"/>
  <c r="N33" i="36"/>
  <c r="O33" i="36" s="1"/>
  <c r="N30" i="15"/>
  <c r="O30" i="15" s="1"/>
  <c r="D45" i="15"/>
  <c r="O45" i="15" s="1"/>
  <c r="D43" i="30"/>
  <c r="N43" i="30" s="1"/>
  <c r="O43" i="30" s="1"/>
  <c r="D33" i="30"/>
  <c r="N33" i="30" s="1"/>
  <c r="D42" i="30"/>
  <c r="N42" i="30" s="1"/>
  <c r="O42" i="30" s="1"/>
  <c r="D46" i="30"/>
  <c r="N46" i="30" s="1"/>
  <c r="O46" i="30" s="1"/>
  <c r="M44" i="36"/>
  <c r="D47" i="20"/>
  <c r="N47" i="20" s="1"/>
  <c r="O47" i="20" s="1"/>
  <c r="N21" i="24"/>
  <c r="D40" i="24" s="1"/>
  <c r="N40" i="24" s="1"/>
  <c r="O40" i="24" s="1"/>
  <c r="L32" i="4"/>
  <c r="O32" i="4" s="1"/>
  <c r="J32" i="4"/>
  <c r="L31" i="4"/>
  <c r="O31" i="4" s="1"/>
  <c r="J31" i="4"/>
  <c r="M62" i="35"/>
  <c r="M64" i="35" s="1"/>
  <c r="O22" i="18"/>
  <c r="O23" i="18" s="1"/>
  <c r="N23" i="18"/>
  <c r="O27" i="18"/>
  <c r="O31" i="22"/>
  <c r="O39" i="16"/>
  <c r="M55" i="16"/>
  <c r="M57" i="16" s="1"/>
  <c r="O34" i="18"/>
  <c r="L55" i="18"/>
  <c r="L57" i="18" s="1"/>
  <c r="O65" i="18" s="1"/>
  <c r="O22" i="16"/>
  <c r="O23" i="16" s="1"/>
  <c r="N23" i="16"/>
  <c r="O35" i="31"/>
  <c r="L55" i="31"/>
  <c r="L57" i="31" s="1"/>
  <c r="O65" i="31" s="1"/>
  <c r="O27" i="10"/>
  <c r="N28" i="35"/>
  <c r="N30" i="35" s="1"/>
  <c r="O27" i="11"/>
  <c r="N34" i="36"/>
  <c r="O34" i="36" s="1"/>
  <c r="O22" i="25"/>
  <c r="O24" i="25" s="1"/>
  <c r="N24" i="25"/>
  <c r="M51" i="5"/>
  <c r="M53" i="5" s="1"/>
  <c r="O36" i="5"/>
  <c r="O22" i="11"/>
  <c r="O23" i="11" s="1"/>
  <c r="N23" i="11"/>
  <c r="D45" i="23"/>
  <c r="N45" i="23" s="1"/>
  <c r="O45" i="23" s="1"/>
  <c r="O68" i="23"/>
  <c r="D33" i="23"/>
  <c r="N33" i="23" s="1"/>
  <c r="O33" i="23" s="1"/>
  <c r="D36" i="23"/>
  <c r="N36" i="23" s="1"/>
  <c r="O36" i="23" s="1"/>
  <c r="D35" i="23"/>
  <c r="N35" i="23" s="1"/>
  <c r="O35" i="23" s="1"/>
  <c r="D49" i="23"/>
  <c r="O49" i="23" s="1"/>
  <c r="D43" i="23"/>
  <c r="M43" i="23" s="1"/>
  <c r="D34" i="23"/>
  <c r="N34" i="23" s="1"/>
  <c r="O34" i="23" s="1"/>
  <c r="D44" i="23"/>
  <c r="N44" i="23" s="1"/>
  <c r="O44" i="23" s="1"/>
  <c r="D37" i="23"/>
  <c r="N37" i="23" s="1"/>
  <c r="O37" i="23" s="1"/>
  <c r="D32" i="23"/>
  <c r="N32" i="23" s="1"/>
  <c r="D53" i="23"/>
  <c r="N53" i="23" s="1"/>
  <c r="O53" i="23" s="1"/>
  <c r="D43" i="17"/>
  <c r="N43" i="17" s="1"/>
  <c r="O43" i="17" s="1"/>
  <c r="D42" i="26"/>
  <c r="N42" i="26" s="1"/>
  <c r="O42" i="26" s="1"/>
  <c r="N35" i="34"/>
  <c r="O35" i="34" s="1"/>
  <c r="D52" i="34"/>
  <c r="D46" i="14"/>
  <c r="N41" i="14"/>
  <c r="O41" i="14" s="1"/>
  <c r="D42" i="14"/>
  <c r="N42" i="14"/>
  <c r="O42" i="14" s="1"/>
  <c r="N46" i="14"/>
  <c r="O46" i="14" s="1"/>
  <c r="D41" i="14"/>
  <c r="D34" i="14"/>
  <c r="N34" i="14" s="1"/>
  <c r="N21" i="5"/>
  <c r="D40" i="5" s="1"/>
  <c r="N40" i="5" s="1"/>
  <c r="O40" i="5" s="1"/>
  <c r="O22" i="10"/>
  <c r="O23" i="10" s="1"/>
  <c r="N23" i="10"/>
  <c r="O19" i="4"/>
  <c r="O20" i="4" s="1"/>
  <c r="N20" i="4"/>
  <c r="O26" i="23"/>
  <c r="O28" i="23" s="1"/>
  <c r="N28" i="23"/>
  <c r="D46" i="13"/>
  <c r="N46" i="13" s="1"/>
  <c r="O46" i="13" s="1"/>
  <c r="D42" i="13"/>
  <c r="N42" i="13" s="1"/>
  <c r="O42" i="13" s="1"/>
  <c r="D43" i="13"/>
  <c r="N43" i="13" s="1"/>
  <c r="O43" i="13" s="1"/>
  <c r="D33" i="13"/>
  <c r="N33" i="13" s="1"/>
  <c r="N34" i="35"/>
  <c r="O34" i="35" s="1"/>
  <c r="N37" i="27"/>
  <c r="O37" i="27" s="1"/>
  <c r="D38" i="27"/>
  <c r="N38" i="27" s="1"/>
  <c r="O38" i="27" s="1"/>
  <c r="O35" i="32"/>
  <c r="L55" i="32"/>
  <c r="L57" i="32" s="1"/>
  <c r="O65" i="32" s="1"/>
  <c r="O29" i="16"/>
  <c r="O25" i="4"/>
  <c r="N44" i="38"/>
  <c r="O44" i="38" s="1"/>
  <c r="D42" i="28"/>
  <c r="M42" i="28" s="1"/>
  <c r="D28" i="28"/>
  <c r="J25" i="29"/>
  <c r="N25" i="29"/>
  <c r="O47" i="19"/>
  <c r="N47" i="21"/>
  <c r="O47" i="21" s="1"/>
  <c r="O28" i="19"/>
  <c r="N30" i="19"/>
  <c r="M56" i="27"/>
  <c r="M58" i="27" s="1"/>
  <c r="O42" i="27"/>
  <c r="O29" i="21"/>
  <c r="O45" i="19"/>
  <c r="M62" i="19"/>
  <c r="M64" i="19" s="1"/>
  <c r="N30" i="27"/>
  <c r="O28" i="27"/>
  <c r="M62" i="20"/>
  <c r="M64" i="20" s="1"/>
  <c r="O41" i="29"/>
  <c r="M55" i="29"/>
  <c r="M57" i="29" s="1"/>
  <c r="O28" i="20"/>
  <c r="N30" i="20"/>
  <c r="D26" i="39"/>
  <c r="D52" i="39"/>
  <c r="N52" i="39" s="1"/>
  <c r="O52" i="39" s="1"/>
  <c r="N28" i="37"/>
  <c r="N44" i="37"/>
  <c r="O44" i="37" s="1"/>
  <c r="O33" i="39"/>
  <c r="O41" i="38"/>
  <c r="M56" i="38"/>
  <c r="M58" i="38" s="1"/>
  <c r="O34" i="38"/>
  <c r="N38" i="37"/>
  <c r="O38" i="37" s="1"/>
  <c r="N36" i="37"/>
  <c r="O36" i="37" s="1"/>
  <c r="O41" i="37"/>
  <c r="M56" i="37"/>
  <c r="M58" i="37" s="1"/>
  <c r="N43" i="39"/>
  <c r="O43" i="39" s="1"/>
  <c r="I25" i="39"/>
  <c r="M41" i="39"/>
  <c r="N27" i="39"/>
  <c r="O27" i="39" s="1"/>
  <c r="L61" i="36"/>
  <c r="L63" i="36" s="1"/>
  <c r="O70" i="36" s="1"/>
  <c r="I25" i="36"/>
  <c r="D26" i="36"/>
  <c r="D58" i="36"/>
  <c r="N58" i="36" s="1"/>
  <c r="O58" i="36" s="1"/>
  <c r="D18" i="36"/>
  <c r="N37" i="35"/>
  <c r="O37" i="35" s="1"/>
  <c r="D38" i="35"/>
  <c r="N38" i="35" s="1"/>
  <c r="O38" i="35" s="1"/>
  <c r="D38" i="34"/>
  <c r="N38" i="34" s="1"/>
  <c r="O38" i="34" s="1"/>
  <c r="N36" i="34"/>
  <c r="O36" i="34" s="1"/>
  <c r="O44" i="34"/>
  <c r="M62" i="34"/>
  <c r="M64" i="34" s="1"/>
  <c r="D27" i="34"/>
  <c r="D59" i="34"/>
  <c r="N59" i="34" s="1"/>
  <c r="O59" i="34" s="1"/>
  <c r="N28" i="34"/>
  <c r="D47" i="34"/>
  <c r="N47" i="34" s="1"/>
  <c r="O47" i="34" s="1"/>
  <c r="N58" i="6" l="1"/>
  <c r="N60" i="6" s="1"/>
  <c r="O58" i="6"/>
  <c r="O60" i="6" s="1"/>
  <c r="O65" i="6" s="1"/>
  <c r="D42" i="17"/>
  <c r="N42" i="17" s="1"/>
  <c r="O42" i="17" s="1"/>
  <c r="D46" i="17"/>
  <c r="N46" i="17" s="1"/>
  <c r="O46" i="17" s="1"/>
  <c r="D33" i="31"/>
  <c r="N33" i="31" s="1"/>
  <c r="O33" i="31" s="1"/>
  <c r="D47" i="21"/>
  <c r="D38" i="21"/>
  <c r="N38" i="21" s="1"/>
  <c r="O38" i="21" s="1"/>
  <c r="N52" i="21"/>
  <c r="O52" i="21" s="1"/>
  <c r="D52" i="21"/>
  <c r="D43" i="26"/>
  <c r="N43" i="26" s="1"/>
  <c r="O43" i="26" s="1"/>
  <c r="D33" i="26"/>
  <c r="N33" i="26" s="1"/>
  <c r="D46" i="9"/>
  <c r="N46" i="9" s="1"/>
  <c r="O46" i="9" s="1"/>
  <c r="D52" i="35"/>
  <c r="O52" i="35" s="1"/>
  <c r="N35" i="35"/>
  <c r="O35" i="35" s="1"/>
  <c r="O67" i="6"/>
  <c r="O53" i="12"/>
  <c r="O58" i="12" s="1"/>
  <c r="D38" i="24"/>
  <c r="N38" i="24" s="1"/>
  <c r="O38" i="24" s="1"/>
  <c r="N48" i="21"/>
  <c r="O48" i="21" s="1"/>
  <c r="D50" i="9"/>
  <c r="N50" i="9" s="1"/>
  <c r="O50" i="9" s="1"/>
  <c r="D38" i="9"/>
  <c r="N38" i="9" s="1"/>
  <c r="O38" i="9" s="1"/>
  <c r="N53" i="12"/>
  <c r="N55" i="12" s="1"/>
  <c r="O55" i="31"/>
  <c r="O60" i="31" s="1"/>
  <c r="N53" i="22"/>
  <c r="N55" i="22" s="1"/>
  <c r="D30" i="24"/>
  <c r="N30" i="24" s="1"/>
  <c r="O30" i="24" s="1"/>
  <c r="O53" i="22"/>
  <c r="O55" i="22" s="1"/>
  <c r="O60" i="22" s="1"/>
  <c r="D37" i="24"/>
  <c r="N37" i="24" s="1"/>
  <c r="O37" i="24" s="1"/>
  <c r="O31" i="8"/>
  <c r="O52" i="8" s="1"/>
  <c r="O54" i="8" s="1"/>
  <c r="O61" i="8" s="1"/>
  <c r="N52" i="8"/>
  <c r="N54" i="8" s="1"/>
  <c r="D32" i="24"/>
  <c r="N32" i="24" s="1"/>
  <c r="O32" i="24" s="1"/>
  <c r="N55" i="31"/>
  <c r="N57" i="31" s="1"/>
  <c r="L52" i="4"/>
  <c r="L54" i="4" s="1"/>
  <c r="O61" i="4" s="1"/>
  <c r="O55" i="15"/>
  <c r="O59" i="15" s="1"/>
  <c r="D50" i="7"/>
  <c r="N50" i="7" s="1"/>
  <c r="O50" i="7" s="1"/>
  <c r="D46" i="7"/>
  <c r="N46" i="7" s="1"/>
  <c r="O46" i="7" s="1"/>
  <c r="D38" i="7"/>
  <c r="N38" i="7" s="1"/>
  <c r="D47" i="7"/>
  <c r="N47" i="7" s="1"/>
  <c r="O47" i="7" s="1"/>
  <c r="D46" i="3"/>
  <c r="N46" i="3" s="1"/>
  <c r="O46" i="3" s="1"/>
  <c r="D37" i="3"/>
  <c r="N37" i="3" s="1"/>
  <c r="D49" i="3"/>
  <c r="N49" i="3" s="1"/>
  <c r="O49" i="3" s="1"/>
  <c r="D45" i="3"/>
  <c r="N45" i="3" s="1"/>
  <c r="O45" i="3" s="1"/>
  <c r="O33" i="30"/>
  <c r="O55" i="30" s="1"/>
  <c r="O57" i="30" s="1"/>
  <c r="N55" i="30"/>
  <c r="N57" i="30" s="1"/>
  <c r="D39" i="5"/>
  <c r="N39" i="5" s="1"/>
  <c r="O39" i="5" s="1"/>
  <c r="N55" i="15"/>
  <c r="N57" i="15" s="1"/>
  <c r="D33" i="32"/>
  <c r="N33" i="32" s="1"/>
  <c r="D43" i="32"/>
  <c r="N43" i="32" s="1"/>
  <c r="O43" i="32" s="1"/>
  <c r="D42" i="32"/>
  <c r="N42" i="32" s="1"/>
  <c r="O42" i="32" s="1"/>
  <c r="D46" i="32"/>
  <c r="N46" i="32" s="1"/>
  <c r="O46" i="32" s="1"/>
  <c r="D28" i="36"/>
  <c r="N28" i="36" s="1"/>
  <c r="O28" i="36" s="1"/>
  <c r="O28" i="35"/>
  <c r="O30" i="35" s="1"/>
  <c r="D33" i="18"/>
  <c r="N33" i="18" s="1"/>
  <c r="D46" i="18"/>
  <c r="N46" i="18" s="1"/>
  <c r="O46" i="18" s="1"/>
  <c r="D43" i="18"/>
  <c r="N43" i="18" s="1"/>
  <c r="O43" i="18" s="1"/>
  <c r="D42" i="18"/>
  <c r="N42" i="18" s="1"/>
  <c r="O42" i="18" s="1"/>
  <c r="D43" i="5"/>
  <c r="N43" i="5" s="1"/>
  <c r="O43" i="5" s="1"/>
  <c r="D38" i="23"/>
  <c r="N38" i="23" s="1"/>
  <c r="O38" i="23" s="1"/>
  <c r="D47" i="23"/>
  <c r="N47" i="23" s="1"/>
  <c r="O47" i="23" s="1"/>
  <c r="D50" i="23"/>
  <c r="N50" i="23" s="1"/>
  <c r="O50" i="23" s="1"/>
  <c r="D46" i="23"/>
  <c r="N46" i="23" s="1"/>
  <c r="O46" i="23" s="1"/>
  <c r="D31" i="5"/>
  <c r="N31" i="5" s="1"/>
  <c r="O31" i="5" s="1"/>
  <c r="O32" i="23"/>
  <c r="N28" i="38"/>
  <c r="O28" i="38" s="1"/>
  <c r="D44" i="4"/>
  <c r="N44" i="4" s="1"/>
  <c r="O44" i="4" s="1"/>
  <c r="D41" i="4"/>
  <c r="N41" i="4" s="1"/>
  <c r="O41" i="4" s="1"/>
  <c r="D30" i="4"/>
  <c r="N30" i="4" s="1"/>
  <c r="D40" i="4"/>
  <c r="N40" i="4" s="1"/>
  <c r="O40" i="4" s="1"/>
  <c r="D33" i="11"/>
  <c r="N33" i="11" s="1"/>
  <c r="D43" i="11"/>
  <c r="N43" i="11" s="1"/>
  <c r="O43" i="11" s="1"/>
  <c r="D46" i="11"/>
  <c r="N46" i="11" s="1"/>
  <c r="O46" i="11" s="1"/>
  <c r="D42" i="11"/>
  <c r="N42" i="11" s="1"/>
  <c r="O42" i="11" s="1"/>
  <c r="O34" i="14"/>
  <c r="O55" i="14" s="1"/>
  <c r="N55" i="14"/>
  <c r="N57" i="14" s="1"/>
  <c r="M58" i="23"/>
  <c r="M60" i="23" s="1"/>
  <c r="O43" i="23"/>
  <c r="N55" i="13"/>
  <c r="N57" i="13" s="1"/>
  <c r="O33" i="13"/>
  <c r="O55" i="13" s="1"/>
  <c r="D45" i="10"/>
  <c r="N45" i="10" s="1"/>
  <c r="O45" i="10" s="1"/>
  <c r="D41" i="10"/>
  <c r="N41" i="10" s="1"/>
  <c r="O41" i="10" s="1"/>
  <c r="D42" i="10"/>
  <c r="N42" i="10" s="1"/>
  <c r="O42" i="10" s="1"/>
  <c r="D33" i="10"/>
  <c r="N33" i="10" s="1"/>
  <c r="O33" i="17"/>
  <c r="O55" i="17" s="1"/>
  <c r="O33" i="26"/>
  <c r="D34" i="25"/>
  <c r="N34" i="25" s="1"/>
  <c r="D39" i="25"/>
  <c r="N39" i="25" s="1"/>
  <c r="O39" i="25" s="1"/>
  <c r="D42" i="25"/>
  <c r="N42" i="25" s="1"/>
  <c r="O42" i="25" s="1"/>
  <c r="D40" i="25"/>
  <c r="N40" i="25" s="1"/>
  <c r="O40" i="25" s="1"/>
  <c r="D43" i="16"/>
  <c r="N43" i="16" s="1"/>
  <c r="O43" i="16" s="1"/>
  <c r="D42" i="16"/>
  <c r="N42" i="16" s="1"/>
  <c r="O42" i="16" s="1"/>
  <c r="D33" i="16"/>
  <c r="N33" i="16" s="1"/>
  <c r="D46" i="16"/>
  <c r="N46" i="16" s="1"/>
  <c r="O46" i="16" s="1"/>
  <c r="O30" i="27"/>
  <c r="N49" i="19"/>
  <c r="O49" i="19" s="1"/>
  <c r="D48" i="19"/>
  <c r="D53" i="19"/>
  <c r="N53" i="19"/>
  <c r="O53" i="19" s="1"/>
  <c r="N48" i="19"/>
  <c r="D49" i="19"/>
  <c r="D39" i="19"/>
  <c r="O25" i="29"/>
  <c r="N29" i="29"/>
  <c r="D45" i="27"/>
  <c r="D48" i="27"/>
  <c r="D39" i="27"/>
  <c r="N39" i="27" s="1"/>
  <c r="N45" i="27"/>
  <c r="O45" i="27" s="1"/>
  <c r="N46" i="27"/>
  <c r="O46" i="27" s="1"/>
  <c r="N48" i="27"/>
  <c r="O48" i="27" s="1"/>
  <c r="D46" i="27"/>
  <c r="N28" i="28"/>
  <c r="D44" i="28"/>
  <c r="N44" i="28" s="1"/>
  <c r="O44" i="28" s="1"/>
  <c r="O30" i="20"/>
  <c r="O30" i="19"/>
  <c r="D39" i="20"/>
  <c r="N39" i="20" s="1"/>
  <c r="N48" i="20"/>
  <c r="O48" i="20" s="1"/>
  <c r="D49" i="20"/>
  <c r="N49" i="20"/>
  <c r="O49" i="20" s="1"/>
  <c r="D53" i="20"/>
  <c r="N53" i="20"/>
  <c r="O53" i="20" s="1"/>
  <c r="D48" i="20"/>
  <c r="M56" i="28"/>
  <c r="M58" i="28" s="1"/>
  <c r="O42" i="28"/>
  <c r="N25" i="39"/>
  <c r="J25" i="39"/>
  <c r="N30" i="37"/>
  <c r="D39" i="37" s="1"/>
  <c r="O28" i="37"/>
  <c r="O41" i="39"/>
  <c r="M55" i="39"/>
  <c r="M57" i="39" s="1"/>
  <c r="O44" i="36"/>
  <c r="M61" i="36"/>
  <c r="M63" i="36" s="1"/>
  <c r="N25" i="36"/>
  <c r="J25" i="36"/>
  <c r="D46" i="36"/>
  <c r="N46" i="36" s="1"/>
  <c r="O46" i="36" s="1"/>
  <c r="N27" i="36"/>
  <c r="O27" i="36" s="1"/>
  <c r="N48" i="35"/>
  <c r="O48" i="35" s="1"/>
  <c r="D39" i="35"/>
  <c r="N39" i="35" s="1"/>
  <c r="O39" i="35" s="1"/>
  <c r="D53" i="35"/>
  <c r="N49" i="35"/>
  <c r="O49" i="35" s="1"/>
  <c r="D48" i="35"/>
  <c r="N53" i="35"/>
  <c r="O53" i="35" s="1"/>
  <c r="D49" i="35"/>
  <c r="N30" i="34"/>
  <c r="O28" i="34"/>
  <c r="N55" i="17" l="1"/>
  <c r="N57" i="17" s="1"/>
  <c r="O62" i="22"/>
  <c r="O55" i="26"/>
  <c r="O60" i="26" s="1"/>
  <c r="N55" i="26"/>
  <c r="N57" i="26" s="1"/>
  <c r="O58" i="9"/>
  <c r="O60" i="9" s="1"/>
  <c r="O65" i="9" s="1"/>
  <c r="O55" i="12"/>
  <c r="O60" i="12" s="1"/>
  <c r="D48" i="37"/>
  <c r="D46" i="37"/>
  <c r="D45" i="37"/>
  <c r="N53" i="37"/>
  <c r="O53" i="37" s="1"/>
  <c r="N61" i="21"/>
  <c r="N63" i="21" s="1"/>
  <c r="N58" i="9"/>
  <c r="N60" i="9" s="1"/>
  <c r="O61" i="21"/>
  <c r="O65" i="21" s="1"/>
  <c r="O57" i="15"/>
  <c r="O61" i="15" s="1"/>
  <c r="O63" i="15" s="1"/>
  <c r="N47" i="24"/>
  <c r="N49" i="24" s="1"/>
  <c r="O57" i="31"/>
  <c r="O62" i="31" s="1"/>
  <c r="O57" i="8"/>
  <c r="O59" i="8" s="1"/>
  <c r="O47" i="24"/>
  <c r="O49" i="24" s="1"/>
  <c r="O55" i="24" s="1"/>
  <c r="N30" i="38"/>
  <c r="O38" i="7"/>
  <c r="O58" i="7" s="1"/>
  <c r="O60" i="7" s="1"/>
  <c r="N58" i="7"/>
  <c r="N60" i="7" s="1"/>
  <c r="O51" i="5"/>
  <c r="O53" i="5" s="1"/>
  <c r="O59" i="5" s="1"/>
  <c r="O60" i="30"/>
  <c r="O62" i="30" s="1"/>
  <c r="O37" i="3"/>
  <c r="O57" i="3" s="1"/>
  <c r="O59" i="3" s="1"/>
  <c r="N57" i="3"/>
  <c r="N59" i="3" s="1"/>
  <c r="N58" i="23"/>
  <c r="N60" i="23" s="1"/>
  <c r="O33" i="32"/>
  <c r="O55" i="32" s="1"/>
  <c r="N55" i="32"/>
  <c r="N57" i="32" s="1"/>
  <c r="N51" i="5"/>
  <c r="N53" i="5" s="1"/>
  <c r="O62" i="35"/>
  <c r="O66" i="35" s="1"/>
  <c r="O60" i="13"/>
  <c r="O57" i="13"/>
  <c r="O60" i="17"/>
  <c r="O57" i="17"/>
  <c r="O30" i="4"/>
  <c r="O52" i="4" s="1"/>
  <c r="O54" i="4" s="1"/>
  <c r="O56" i="4" s="1"/>
  <c r="N52" i="4"/>
  <c r="N54" i="4" s="1"/>
  <c r="O33" i="10"/>
  <c r="O54" i="10" s="1"/>
  <c r="N54" i="10"/>
  <c r="N56" i="10" s="1"/>
  <c r="O33" i="18"/>
  <c r="O55" i="18" s="1"/>
  <c r="N55" i="18"/>
  <c r="N57" i="18" s="1"/>
  <c r="O33" i="11"/>
  <c r="O55" i="11" s="1"/>
  <c r="N55" i="11"/>
  <c r="N57" i="11" s="1"/>
  <c r="O33" i="16"/>
  <c r="O55" i="16" s="1"/>
  <c r="N55" i="16"/>
  <c r="N57" i="16" s="1"/>
  <c r="O34" i="25"/>
  <c r="O50" i="25" s="1"/>
  <c r="N50" i="25"/>
  <c r="N52" i="25" s="1"/>
  <c r="O64" i="31"/>
  <c r="O58" i="23"/>
  <c r="O60" i="23" s="1"/>
  <c r="O59" i="14"/>
  <c r="O57" i="14"/>
  <c r="O64" i="30"/>
  <c r="O29" i="29"/>
  <c r="D47" i="29"/>
  <c r="N47" i="29"/>
  <c r="O47" i="29" s="1"/>
  <c r="D44" i="29"/>
  <c r="N45" i="29"/>
  <c r="O45" i="29" s="1"/>
  <c r="D38" i="29"/>
  <c r="N38" i="29" s="1"/>
  <c r="D45" i="29"/>
  <c r="N44" i="29"/>
  <c r="O44" i="29" s="1"/>
  <c r="O28" i="28"/>
  <c r="N30" i="28"/>
  <c r="N62" i="20"/>
  <c r="N64" i="20" s="1"/>
  <c r="O39" i="20"/>
  <c r="O62" i="20" s="1"/>
  <c r="O66" i="20" s="1"/>
  <c r="O48" i="19"/>
  <c r="O62" i="19" s="1"/>
  <c r="O66" i="19" s="1"/>
  <c r="N62" i="19"/>
  <c r="N64" i="19" s="1"/>
  <c r="O39" i="27"/>
  <c r="O56" i="27" s="1"/>
  <c r="O60" i="27" s="1"/>
  <c r="N56" i="27"/>
  <c r="N58" i="27" s="1"/>
  <c r="O30" i="37"/>
  <c r="N48" i="37"/>
  <c r="O48" i="37" s="1"/>
  <c r="N39" i="37"/>
  <c r="N45" i="37"/>
  <c r="O45" i="37" s="1"/>
  <c r="N46" i="37"/>
  <c r="O46" i="37" s="1"/>
  <c r="O25" i="39"/>
  <c r="N29" i="39"/>
  <c r="O30" i="38"/>
  <c r="N29" i="36"/>
  <c r="O25" i="36"/>
  <c r="N62" i="35"/>
  <c r="N64" i="35" s="1"/>
  <c r="D49" i="34"/>
  <c r="D53" i="34"/>
  <c r="D39" i="34"/>
  <c r="N48" i="34"/>
  <c r="N49" i="34"/>
  <c r="O49" i="34" s="1"/>
  <c r="N53" i="34"/>
  <c r="O53" i="34" s="1"/>
  <c r="D48" i="34"/>
  <c r="O30" i="34"/>
  <c r="O62" i="12" l="1"/>
  <c r="O57" i="26"/>
  <c r="O62" i="26" s="1"/>
  <c r="O51" i="24"/>
  <c r="O53" i="24" s="1"/>
  <c r="O67" i="9"/>
  <c r="D48" i="38"/>
  <c r="D45" i="38"/>
  <c r="D46" i="38"/>
  <c r="D39" i="38"/>
  <c r="N39" i="38" s="1"/>
  <c r="O39" i="38" s="1"/>
  <c r="N46" i="38"/>
  <c r="O46" i="38" s="1"/>
  <c r="O63" i="21"/>
  <c r="O67" i="21" s="1"/>
  <c r="O69" i="21" s="1"/>
  <c r="O55" i="5"/>
  <c r="O57" i="5" s="1"/>
  <c r="N45" i="38"/>
  <c r="O45" i="38" s="1"/>
  <c r="N48" i="38"/>
  <c r="O48" i="38" s="1"/>
  <c r="O64" i="3"/>
  <c r="O66" i="3"/>
  <c r="O67" i="7"/>
  <c r="O65" i="7"/>
  <c r="O57" i="32"/>
  <c r="O64" i="32" s="1"/>
  <c r="O60" i="32"/>
  <c r="O61" i="14"/>
  <c r="O63" i="14" s="1"/>
  <c r="O64" i="35"/>
  <c r="O68" i="35" s="1"/>
  <c r="O70" i="35" s="1"/>
  <c r="O60" i="18"/>
  <c r="O57" i="18"/>
  <c r="O60" i="16"/>
  <c r="O57" i="16"/>
  <c r="O59" i="10"/>
  <c r="O56" i="10"/>
  <c r="O65" i="23"/>
  <c r="O67" i="23"/>
  <c r="O60" i="4"/>
  <c r="O58" i="4"/>
  <c r="O60" i="11"/>
  <c r="O57" i="11"/>
  <c r="O64" i="26"/>
  <c r="O62" i="17"/>
  <c r="O64" i="17"/>
  <c r="O62" i="13"/>
  <c r="O64" i="13"/>
  <c r="O55" i="25"/>
  <c r="O52" i="25"/>
  <c r="N46" i="28"/>
  <c r="O46" i="28" s="1"/>
  <c r="D46" i="28"/>
  <c r="D48" i="28"/>
  <c r="N48" i="28"/>
  <c r="O48" i="28" s="1"/>
  <c r="D45" i="28"/>
  <c r="N45" i="28"/>
  <c r="O45" i="28" s="1"/>
  <c r="D39" i="28"/>
  <c r="N39" i="28" s="1"/>
  <c r="O64" i="19"/>
  <c r="O68" i="19" s="1"/>
  <c r="O70" i="19" s="1"/>
  <c r="O30" i="28"/>
  <c r="O64" i="20"/>
  <c r="O68" i="20" s="1"/>
  <c r="O70" i="20" s="1"/>
  <c r="O58" i="27"/>
  <c r="O62" i="27" s="1"/>
  <c r="O64" i="27" s="1"/>
  <c r="O38" i="29"/>
  <c r="O55" i="29" s="1"/>
  <c r="O59" i="29" s="1"/>
  <c r="N55" i="29"/>
  <c r="N57" i="29" s="1"/>
  <c r="O39" i="37"/>
  <c r="O56" i="37" s="1"/>
  <c r="O60" i="37" s="1"/>
  <c r="N56" i="37"/>
  <c r="N58" i="37" s="1"/>
  <c r="O29" i="39"/>
  <c r="N47" i="39"/>
  <c r="O47" i="39" s="1"/>
  <c r="N44" i="39"/>
  <c r="O44" i="39" s="1"/>
  <c r="D47" i="39"/>
  <c r="N45" i="39"/>
  <c r="O45" i="39" s="1"/>
  <c r="D44" i="39"/>
  <c r="D38" i="39"/>
  <c r="N38" i="39" s="1"/>
  <c r="D45" i="39"/>
  <c r="N47" i="36"/>
  <c r="O47" i="36" s="1"/>
  <c r="D38" i="36"/>
  <c r="N38" i="36" s="1"/>
  <c r="D48" i="36"/>
  <c r="D52" i="36"/>
  <c r="N48" i="36"/>
  <c r="O48" i="36" s="1"/>
  <c r="D47" i="36"/>
  <c r="N52" i="36"/>
  <c r="O52" i="36" s="1"/>
  <c r="O29" i="36"/>
  <c r="O48" i="34"/>
  <c r="O62" i="34" s="1"/>
  <c r="O66" i="34" s="1"/>
  <c r="N62" i="34"/>
  <c r="N64" i="34" s="1"/>
  <c r="O56" i="38" l="1"/>
  <c r="O60" i="38" s="1"/>
  <c r="N56" i="38"/>
  <c r="N58" i="38" s="1"/>
  <c r="O62" i="32"/>
  <c r="O63" i="10"/>
  <c r="O61" i="10"/>
  <c r="O62" i="11"/>
  <c r="O64" i="11"/>
  <c r="O62" i="16"/>
  <c r="O64" i="16"/>
  <c r="O57" i="25"/>
  <c r="O59" i="25"/>
  <c r="O62" i="18"/>
  <c r="O64" i="18"/>
  <c r="N56" i="28"/>
  <c r="N58" i="28" s="1"/>
  <c r="O39" i="28"/>
  <c r="O56" i="28" s="1"/>
  <c r="O60" i="28" s="1"/>
  <c r="O57" i="29"/>
  <c r="O61" i="29" s="1"/>
  <c r="O63" i="29" s="1"/>
  <c r="O58" i="37"/>
  <c r="O62" i="37" s="1"/>
  <c r="O64" i="37" s="1"/>
  <c r="O38" i="39"/>
  <c r="O55" i="39" s="1"/>
  <c r="O59" i="39" s="1"/>
  <c r="N55" i="39"/>
  <c r="N57" i="39" s="1"/>
  <c r="O38" i="36"/>
  <c r="O61" i="36" s="1"/>
  <c r="O65" i="36" s="1"/>
  <c r="N61" i="36"/>
  <c r="N63" i="36" s="1"/>
  <c r="O64" i="34"/>
  <c r="O68" i="34" s="1"/>
  <c r="O70" i="34" s="1"/>
  <c r="O58" i="38" l="1"/>
  <c r="O62" i="38" s="1"/>
  <c r="O64" i="38" s="1"/>
  <c r="O58" i="28"/>
  <c r="O62" i="28" s="1"/>
  <c r="O64" i="28" s="1"/>
  <c r="O57" i="39"/>
  <c r="O61" i="39" s="1"/>
  <c r="O63" i="39" s="1"/>
  <c r="O63" i="36"/>
  <c r="O67" i="36" s="1"/>
  <c r="O69" i="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5" authorId="0" shapeId="0" xr:uid="{229AB72A-D0F0-417D-8AE2-356EBC84C768}">
      <text>
        <r>
          <rPr>
            <b/>
            <sz val="8"/>
            <color indexed="81"/>
            <rFont val="Tahoma"/>
            <family val="2"/>
          </rPr>
          <t xml:space="preserve">Enter the kW contract capacity for GS-2 and GS-3 services.  </t>
        </r>
      </text>
    </comment>
    <comment ref="F15" authorId="1" shapeId="0" xr:uid="{433D2A26-9AA0-4B34-B57B-6D1B46A0D80D}">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6" authorId="2" shapeId="0" xr:uid="{D5FC894A-E06F-42BB-AA5C-F598C38A1C6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7" authorId="0" shapeId="0" xr:uid="{C93DB491-9736-4FCD-BD6F-BCE7D56721DD}">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9" authorId="0" shapeId="0" xr:uid="{B9873DBF-E1EA-4245-9405-0DBC6D29985D}">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20" authorId="0" shapeId="0" xr:uid="{ACCE7FFD-65B3-4379-9A88-9CC995798E67}">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2" authorId="3" shapeId="0" xr:uid="{6AECF8B1-E245-499E-B662-5951E15393D2}">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3" authorId="3" shapeId="0" xr:uid="{4BBA5EB6-4313-4E80-BD0B-8FE7A03CA991}">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4" authorId="2" shapeId="0" xr:uid="{84B62204-76A6-40F4-B40B-85CE083B08C7}">
      <text>
        <r>
          <rPr>
            <b/>
            <sz val="8"/>
            <color indexed="81"/>
            <rFont val="Tahoma"/>
            <family val="2"/>
          </rPr>
          <t xml:space="preserve">GS-3 only - Enter the "Received" kWh (energy sent back to Ohio Power).
</t>
        </r>
      </text>
    </comment>
    <comment ref="A27" authorId="3" shapeId="0" xr:uid="{EF93B876-2C75-41DC-9BEE-663F58823391}">
      <text>
        <r>
          <rPr>
            <b/>
            <sz val="8"/>
            <color indexed="81"/>
            <rFont val="Tahoma"/>
            <family val="2"/>
          </rPr>
          <t>Enter highest kVAR demand.  GS-4 customers only.</t>
        </r>
        <r>
          <rPr>
            <sz val="8"/>
            <color indexed="81"/>
            <rFont val="Tahoma"/>
            <family val="2"/>
          </rPr>
          <t xml:space="preserve">
</t>
        </r>
      </text>
    </comment>
    <comment ref="A28" authorId="0" shapeId="0" xr:uid="{5E132699-F446-4983-8A5B-ED269E131E8B}">
      <text>
        <r>
          <rPr>
            <b/>
            <sz val="8"/>
            <color indexed="81"/>
            <rFont val="Tahoma"/>
            <family val="2"/>
          </rPr>
          <t xml:space="preserve">Enter the reactive hours, if measured.  It applies to GS2 and GS3.  If preferred, power factor can be entered in lieu below. </t>
        </r>
      </text>
    </comment>
    <comment ref="A30" authorId="0" shapeId="0" xr:uid="{30C01566-63EE-4B5F-8CEB-4ED1C24F60BF}">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3" authorId="4" shapeId="0" xr:uid="{CBF5D5CA-F0BD-4D9E-BDC8-CB6B52B60D99}">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4" authorId="3" shapeId="0" xr:uid="{9107041E-7032-45A1-88D6-CF54FA048433}">
      <text>
        <r>
          <rPr>
            <b/>
            <sz val="8"/>
            <color indexed="81"/>
            <rFont val="Tahoma"/>
            <family val="2"/>
          </rPr>
          <t>Federal Government accounts are exempt from the KWH Tax rider.</t>
        </r>
        <r>
          <rPr>
            <sz val="8"/>
            <color indexed="81"/>
            <rFont val="Tahoma"/>
            <family val="2"/>
          </rPr>
          <t xml:space="preserve">
</t>
        </r>
      </text>
    </comment>
    <comment ref="A35" authorId="5" shapeId="0" xr:uid="{1A6384B8-74D2-4AD7-BF06-E44439DF0539}">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<sst xmlns="http://schemas.openxmlformats.org/spreadsheetml/2006/main" count="5881" uniqueCount="323">
  <si>
    <t>Ohio Power Billing Analysis</t>
  </si>
  <si>
    <t>Columbus Southern Rate Zone</t>
  </si>
  <si>
    <t xml:space="preserve"> </t>
  </si>
  <si>
    <t>Customer Load Information</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</si>
  <si>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</si>
  <si>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Customer Name:</t>
  </si>
  <si>
    <t>Account</t>
  </si>
  <si>
    <r>
      <t xml:space="preserve">Billing Month/Year </t>
    </r>
    <r>
      <rPr>
        <b/>
        <sz val="10"/>
        <rFont val="Arial"/>
        <family val="2"/>
      </rPr>
      <t>(</t>
    </r>
    <r>
      <rPr>
        <b/>
        <sz val="10"/>
        <color indexed="10"/>
        <rFont val="Arial"/>
        <family val="2"/>
      </rPr>
      <t>REQUIRED)</t>
    </r>
    <r>
      <rPr>
        <sz val="10"/>
        <rFont val="Arial"/>
        <family val="2"/>
      </rPr>
      <t>:</t>
    </r>
  </si>
  <si>
    <t>Month (1, 2, …, 12)</t>
  </si>
  <si>
    <t>Year</t>
  </si>
  <si>
    <t>Title Note:</t>
  </si>
  <si>
    <t>Breakdown of Charges Based on Entered Information</t>
  </si>
  <si>
    <t>Contract Capacity:</t>
  </si>
  <si>
    <t>kW</t>
  </si>
  <si>
    <t>Contract Minimum Demand:</t>
  </si>
  <si>
    <t>Highest Previous Demand:</t>
  </si>
  <si>
    <t>Metered On-Peak Demand:</t>
  </si>
  <si>
    <t>Metered Off-Peak Demand:</t>
  </si>
  <si>
    <t>Metered kWh (On-Peak):</t>
  </si>
  <si>
    <t>kWh</t>
  </si>
  <si>
    <t>Metered kWh (Off-Peak):</t>
  </si>
  <si>
    <t>Received kWh</t>
  </si>
  <si>
    <t>Metered Reactive Demand</t>
  </si>
  <si>
    <t>kVAR</t>
  </si>
  <si>
    <t>Metered Reactive Hours:</t>
  </si>
  <si>
    <t>kVARh</t>
  </si>
  <si>
    <r>
      <t xml:space="preserve">Power Factor (%) </t>
    </r>
    <r>
      <rPr>
        <sz val="8"/>
        <color indexed="10"/>
        <rFont val="Arial"/>
        <family val="2"/>
      </rPr>
      <t>optional</t>
    </r>
  </si>
  <si>
    <t>Avg. PF</t>
  </si>
  <si>
    <t>Apply Self Assessor Option</t>
  </si>
  <si>
    <t>Federal Government Account</t>
  </si>
  <si>
    <t>DSM Energy Efficiency Opt Out</t>
  </si>
  <si>
    <t>Move mouse over red corner marker to see notes.</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</si>
  <si>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</si>
  <si>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</si>
  <si>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</si>
  <si>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</si>
  <si>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</si>
  <si>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</si>
  <si>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</si>
  <si>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</si>
  <si>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</si>
  <si>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</si>
  <si>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</si>
  <si>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</si>
  <si>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</si>
  <si>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</si>
  <si>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</si>
  <si>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</si>
  <si>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</si>
  <si>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 xml:space="preserve">Solar Generation Rider - </t>
    </r>
    <r>
      <rPr>
        <sz val="9"/>
        <rFont val="Arial"/>
        <family val="2"/>
      </rPr>
      <t>This rider is to fund disbursements to qualifying solar resources as required by the General Assembly.</t>
    </r>
  </si>
  <si>
    <t>Ohio Power Company</t>
  </si>
  <si>
    <t>Residential Secondary Bundled Service</t>
  </si>
  <si>
    <t>Available for residential electric service through one meter to individual residential customers. (Schedule Codes: 015)</t>
  </si>
  <si>
    <t>Account #:</t>
  </si>
  <si>
    <t>Billing Month/Year:</t>
  </si>
  <si>
    <t>Month</t>
  </si>
  <si>
    <t>January</t>
  </si>
  <si>
    <t>February</t>
  </si>
  <si>
    <t>March</t>
  </si>
  <si>
    <t>April</t>
  </si>
  <si>
    <t>May</t>
  </si>
  <si>
    <t>June</t>
  </si>
  <si>
    <t>July</t>
  </si>
  <si>
    <t>August</t>
  </si>
  <si>
    <t>September</t>
  </si>
  <si>
    <t>October</t>
  </si>
  <si>
    <t>November</t>
  </si>
  <si>
    <t>December</t>
  </si>
  <si>
    <t>Billing Parameters</t>
  </si>
  <si>
    <t>Metered kWh Usage:</t>
  </si>
  <si>
    <t>Bill Calculation</t>
  </si>
  <si>
    <t>Rates</t>
  </si>
  <si>
    <t>Billing</t>
  </si>
  <si>
    <t>Generation</t>
  </si>
  <si>
    <t>Transmission</t>
  </si>
  <si>
    <t>Distribution</t>
  </si>
  <si>
    <t>Total</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</si>
  <si>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</si>
  <si>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</si>
  <si>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</si>
  <si>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</si>
  <si>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</si>
  <si>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</si>
  <si>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</si>
  <si>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</si>
  <si>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</si>
  <si>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</si>
  <si>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</si>
  <si>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</si>
  <si>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</si>
  <si>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Pilot Throughput Balancing Adjustment Rider</t>
  </si>
  <si>
    <t>Bad Debt Rider</t>
  </si>
  <si>
    <t>Base (Dist)</t>
  </si>
  <si>
    <t>Generation Energy Rider</t>
  </si>
  <si>
    <t>Generation Capacity Rider</t>
  </si>
  <si>
    <t>Auction Cost Reconciliation Rider</t>
  </si>
  <si>
    <t>Legacy Generation Resource Rider</t>
  </si>
  <si>
    <t>Basic Transmission Cost Rider</t>
  </si>
  <si>
    <t>Energy Efficiency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</si>
  <si>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</si>
  <si>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</si>
  <si>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</si>
  <si>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</si>
  <si>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</si>
  <si>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</si>
  <si>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Storm Damage Recovery Rider</t>
  </si>
  <si>
    <t>Alternative Energy Rider</t>
  </si>
  <si>
    <t>Tax Savings Credit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</si>
  <si>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</si>
  <si>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</si>
  <si>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</si>
  <si>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</si>
  <si>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</si>
  <si>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</si>
  <si>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</si>
  <si>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</si>
  <si>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</si>
  <si>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</si>
  <si>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</si>
  <si>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Residential Service - Demand Metered</t>
  </si>
  <si>
    <t xml:space="preserve">Available for optional residential electric service through one meter to individual residential customers.  Requires the installation of demand metering facilities. (Schedule Codes: 010)  </t>
  </si>
  <si>
    <t>Billing Month:</t>
  </si>
  <si>
    <t>Dist Rate 1</t>
  </si>
  <si>
    <t>Dist Rate 2</t>
  </si>
  <si>
    <t>Gen Cap 1</t>
  </si>
  <si>
    <t xml:space="preserve">Bill Calculation </t>
  </si>
  <si>
    <t>Gen Cap 2</t>
  </si>
  <si>
    <t>Gen Cap 3</t>
  </si>
  <si>
    <t>Gen En 1</t>
  </si>
  <si>
    <t>Base Charge</t>
  </si>
  <si>
    <t xml:space="preserve">Generation Energy Rider </t>
  </si>
  <si>
    <t>Generation Capacity Rider (1)</t>
  </si>
  <si>
    <t>Generation Capacity Rider (2)</t>
  </si>
  <si>
    <t>Generation Capacity Rider (3)</t>
  </si>
  <si>
    <t>kWh Usage:</t>
  </si>
  <si>
    <t>Demand (kW)</t>
  </si>
  <si>
    <t>Dist Rate 3</t>
  </si>
  <si>
    <t>Energy Charge:     kW</t>
  </si>
  <si>
    <t>Columbus Southern Power Rate Zone</t>
  </si>
  <si>
    <t>Available for residential electric service through one meter to individual residential customers. (Schedule Codes: 036)</t>
  </si>
  <si>
    <t>Rider Rate 1</t>
  </si>
  <si>
    <t>Rider Rate 2</t>
  </si>
  <si>
    <t>Gen En</t>
  </si>
  <si>
    <t>On-Peak kWh Usage</t>
  </si>
  <si>
    <t>Off-Peak kWh Usage</t>
  </si>
  <si>
    <t>Generation Capacity Rider (On-Peak)</t>
  </si>
  <si>
    <t>Generation Capacity Rider (Off-Peak)</t>
  </si>
  <si>
    <t>Residential PEV</t>
  </si>
  <si>
    <t xml:space="preserve">                                                                                                                (Schedule Codes: 048 and 807)</t>
  </si>
  <si>
    <t>On-Peak Energy Charge</t>
  </si>
  <si>
    <t>Off-Peak Energy Charge</t>
  </si>
  <si>
    <t>Residential Time-of-Day Bundled Service</t>
  </si>
  <si>
    <t>Available to individual residential customers.   Availability is limited to the first 500 customers applying for service under this schedule. (Schedule Code 019, 030, 032)</t>
  </si>
  <si>
    <t xml:space="preserve">Dist Rate - Off </t>
  </si>
  <si>
    <t xml:space="preserve">Dist Rate - On </t>
  </si>
  <si>
    <t xml:space="preserve">Energy Charge:   </t>
  </si>
  <si>
    <t>Generation Capacity Rider (Off Peak)</t>
  </si>
  <si>
    <t>Generation Capacity Rider (On Peak)</t>
  </si>
  <si>
    <t>Pilot Plug-In Electric Vehicle Service</t>
  </si>
  <si>
    <t>Available for residential electric service through one meter to individual residential customers. (Schedule Codes: 029, 039, 809, and 815)</t>
  </si>
  <si>
    <t>Metered kW Usage:</t>
  </si>
  <si>
    <t>On-Peak Demand Charge</t>
  </si>
  <si>
    <t>/kW</t>
  </si>
  <si>
    <t>GS-1 Bundled Service</t>
  </si>
  <si>
    <t>Available for general service to customers with maximum demands less than 10 KW.  (Schedule Codes 211, 212)</t>
  </si>
  <si>
    <t>Energy Charge</t>
  </si>
  <si>
    <t>Solar Generation Fund Rider (first 833,000 kWh)</t>
  </si>
  <si>
    <t>Solar Generation Fund Rider (in excess of 833,000 kWh)</t>
  </si>
  <si>
    <t>Available for general service to customers with maximum demands less than 10 KW.  (Schedule Codes 284)</t>
  </si>
  <si>
    <t>On-Peak kWh Usage:</t>
  </si>
  <si>
    <t>Off-Peak kWh Usage:</t>
  </si>
  <si>
    <t>Energy Charge:</t>
  </si>
  <si>
    <t>GS-2-Time-of-Day Secondary Bundled Service</t>
  </si>
  <si>
    <t>Available for general service customers with maximum demands less than 500 kW.  Availability is limited to secondary service and the first 1,000 customers applying for service under this schedule. (Schedule Codes: 220, 223, 225, 228, 229)</t>
  </si>
  <si>
    <t>Bill Calculation - Summer (June-September)</t>
  </si>
  <si>
    <t>Retail Reconciliation Rider (first 833,000 kWh)</t>
  </si>
  <si>
    <t>Retail Reconciliation Rider (in excess of 833,000 kWh)</t>
  </si>
  <si>
    <t>Storm Damage Recover Rider</t>
  </si>
  <si>
    <t>Base + Rider Total</t>
  </si>
  <si>
    <t>GS Service - Fair</t>
  </si>
  <si>
    <t>Available for general service to customers with maximum demands of 10 KW or greater. (Schedule Codes 315)</t>
  </si>
  <si>
    <t>Metered</t>
  </si>
  <si>
    <t>Adjusted</t>
  </si>
  <si>
    <t>On-Peak Demand:</t>
  </si>
  <si>
    <t>Off-Peak Demand:</t>
  </si>
  <si>
    <t>Load Factor:</t>
  </si>
  <si>
    <t>Metered Voltage Adjustment:</t>
  </si>
  <si>
    <t>kWh Tax  (first 2000 kWh)</t>
  </si>
  <si>
    <t>kWh Tax  (next 13,000 kWh)</t>
  </si>
  <si>
    <t>kWh Tax  (in excess of 15,000 kWh)</t>
  </si>
  <si>
    <t>Energy Efficiency &amp; Peak Demand Reduction Cost Recovery</t>
  </si>
  <si>
    <t>Minimum Charge</t>
  </si>
  <si>
    <t xml:space="preserve">Average Energy Cost </t>
  </si>
  <si>
    <t>GS Primary Bundled Service</t>
  </si>
  <si>
    <t>(Schedule Codes 217, 218, 232, 266, 322)</t>
  </si>
  <si>
    <t>Bus PEV Sec</t>
  </si>
  <si>
    <t>(Schedule Codes 340 and 800)</t>
  </si>
  <si>
    <t>Bus PEV Primary</t>
  </si>
  <si>
    <t>(Schedule Codes 342 and 802)</t>
  </si>
  <si>
    <t>Bus PEV Trans</t>
  </si>
  <si>
    <t xml:space="preserve">          (Schedule Codes 344, 346, 804, and 806)</t>
  </si>
  <si>
    <t>GS Secondary Bundled Service</t>
  </si>
  <si>
    <t>Available for general service to customers with maximum demands of 10 KW or greater. (Schedule Codes 208, 215, 231, 265)</t>
  </si>
  <si>
    <t>Reactive Hours:</t>
  </si>
  <si>
    <t>KVARh</t>
  </si>
  <si>
    <t>Peak kVA</t>
  </si>
  <si>
    <t>kVA</t>
  </si>
  <si>
    <t>Allowable kVA:</t>
  </si>
  <si>
    <t>Demand Charge</t>
  </si>
  <si>
    <t>Excess Reactive Demand Charge</t>
  </si>
  <si>
    <t>kVar</t>
  </si>
  <si>
    <t xml:space="preserve">kW </t>
  </si>
  <si>
    <t>GS Transmission Bundled Service</t>
  </si>
  <si>
    <t>(Schedule Codes 238, 239, 258, 270, 275)</t>
  </si>
  <si>
    <t>Peak kVAR:</t>
  </si>
  <si>
    <t>KVAR</t>
  </si>
  <si>
    <t>Excess kVAR:</t>
  </si>
  <si>
    <t>KVA</t>
  </si>
  <si>
    <t>Residential Secondary Open Access Distribution Service</t>
  </si>
  <si>
    <t>Available for residential electric service through one meter to individual residential customers. (Schedule Codes: 820)</t>
  </si>
  <si>
    <t>Residential Distribution Credit Rider</t>
  </si>
  <si>
    <t>Residential Service - Demand Metered - OAD</t>
  </si>
  <si>
    <t xml:space="preserve">Available for optional residential electric service through one meter to individual residential customers.  Requires the installation of demand metering facilities. (Schedule Codes: 810)  </t>
  </si>
  <si>
    <t>GS-1 Open Access Distribution Service</t>
  </si>
  <si>
    <t>Available for general service to customers with maximum demands less than 10 KW.  (Schedule Codes 830)</t>
  </si>
  <si>
    <t>Energy Charge;   (First 1000 kWh)</t>
  </si>
  <si>
    <t xml:space="preserve">                            (Over 1000 kWh)</t>
  </si>
  <si>
    <t>GS Secondary Open Access Distribution Service</t>
  </si>
  <si>
    <t>Available for general service to customers with maximum demands of 10 KW or greater. (Schedule Codes 770, 840, 842, 845)</t>
  </si>
  <si>
    <t>GS Primary Open Access Distribution Service</t>
  </si>
  <si>
    <t>(Schedule Codes 774, 841, 843, 846, 861)</t>
  </si>
  <si>
    <t>GS Transmission Open Access Distribution Service</t>
  </si>
  <si>
    <t>(Schedule Codes 779, 790, 826, 827, 858, 853)</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</si>
  <si>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</si>
  <si>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</si>
  <si>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</si>
  <si>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</si>
  <si>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</si>
  <si>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</si>
  <si>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</si>
  <si>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</si>
  <si>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</si>
  <si>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</si>
  <si>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</si>
  <si>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</si>
  <si>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</si>
  <si>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</si>
  <si>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</si>
  <si>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</si>
  <si>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</si>
  <si>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</si>
  <si>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</si>
  <si>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 GS-TOU</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</si>
  <si>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</si>
  <si>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</si>
  <si>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</si>
  <si>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</si>
  <si>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</si>
  <si>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</si>
  <si>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</si>
  <si>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</si>
  <si>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</si>
  <si>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</si>
  <si>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</si>
  <si>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</si>
  <si>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</si>
  <si>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</si>
  <si>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</si>
  <si>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</si>
  <si>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</si>
  <si>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</si>
  <si>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</si>
  <si>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</si>
  <si>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</si>
  <si>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</si>
  <si>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</si>
  <si>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</si>
  <si>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</si>
  <si>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</si>
  <si>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</si>
  <si>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</si>
  <si>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GS-1, GS-TOD</t>
  </si>
  <si>
    <t>County Fair PRI</t>
  </si>
  <si>
    <t>Basic Transmission Cost Rider (kW)</t>
  </si>
  <si>
    <t>Energy Efficiency Rider (kWh)</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</si>
  <si>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</si>
  <si>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</si>
  <si>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</si>
  <si>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</si>
  <si>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</si>
  <si>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</si>
  <si>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</si>
  <si>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</si>
  <si>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</si>
  <si>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</si>
  <si>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</si>
  <si>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</si>
  <si>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</si>
  <si>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</si>
  <si>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</si>
  <si>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</si>
  <si>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</si>
  <si>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</si>
  <si>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</si>
  <si>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</si>
  <si>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</si>
  <si>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</si>
  <si>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</si>
  <si>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</si>
  <si>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</si>
  <si>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</si>
  <si>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</si>
  <si>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&lt;&lt;Cap Limit</t>
  </si>
  <si>
    <t>Placeholder</t>
  </si>
  <si>
    <t>Residential PEV (Sheet 271-1)</t>
  </si>
  <si>
    <t>Bus PEV - Sec</t>
  </si>
  <si>
    <t>Bus PEV - Pri</t>
  </si>
  <si>
    <t>Bus PEV - Trans Low</t>
  </si>
  <si>
    <t>Bus PEV - Trans High</t>
  </si>
  <si>
    <t>Revised 3/31/2025</t>
  </si>
  <si>
    <t>GS Secondary Bundled Service DCT</t>
  </si>
  <si>
    <t>GS Primary Bundled Service DCT</t>
  </si>
  <si>
    <t>GS Transmission Bundled Service DCT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</si>
</sst>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_);_(* \(#,##0.0\);_(* &quot;-&quot;?_);_(@_)"/>
    <numFmt numFmtId="165" formatCode="_(* #,##0.000_);_(* \(#,##0.000\);_(* &quot;-&quot;???_);_(@_)"/>
    <numFmt numFmtId="166" formatCode="0.0%"/>
    <numFmt numFmtId="167" formatCode="mm/dd/yy"/>
    <numFmt numFmtId="168" formatCode="0.0000000"/>
    <numFmt numFmtId="169" formatCode="_(&quot;$&quot;* #,##0.00_);_(&quot;$&quot;* \(#,##0.00\);_(&quot;$&quot;* &quot;-&quot;???????_);_(@_)"/>
    <numFmt numFmtId="170" formatCode="0.00000%"/>
    <numFmt numFmtId="171" formatCode="_(&quot;$&quot;* #,##0.0000000_);_(&quot;$&quot;* \(#,##0.0000000\);_(&quot;$&quot;* &quot;-&quot;??_);_(@_)"/>
    <numFmt numFmtId="172" formatCode="_(&quot;$&quot;* #,##0.0000000_);_(&quot;$&quot;* \(#,##0.0000000\);_(&quot;$&quot;* &quot;-&quot;???????_);_(@_)"/>
    <numFmt numFmtId="173" formatCode="_(&quot;$&quot;* #,##0.00000_);_(&quot;$&quot;* \(#,##0.00000\);_(&quot;$&quot;* &quot;-&quot;?????_);_(@_)"/>
    <numFmt numFmtId="174" formatCode="0.0000%"/>
    <numFmt numFmtId="175" formatCode="_(&quot;$&quot;* #,##0.0000_);_(&quot;$&quot;* \(#,##0.0000\);_(&quot;$&quot;* &quot;-&quot;????_);_(@_)"/>
    <numFmt numFmtId="176" formatCode="&quot;$&quot;#,##0.0000000"/>
    <numFmt numFmtId="177" formatCode="m/d/yyyy;@"/>
    <numFmt numFmtId="178" formatCode="_(&quot;$&quot;* #,##0.000000_);_(&quot;$&quot;* \(#,##0.000000\);_(&quot;$&quot;* &quot;-&quot;??????_);_(@_)"/>
    <numFmt numFmtId="179" formatCode="#,##0.000"/>
    <numFmt numFmtId="180" formatCode="0.00000"/>
    <numFmt numFmtId="181" formatCode="#,##0.0"/>
    <numFmt numFmtId="182" formatCode="_(* #,##0.0_);_(* \(#,##0.0\);_(* &quot;-&quot;??_);_(@_)"/>
    <numFmt numFmtId="183" formatCode="_(&quot;$&quot;* #,##0.00000_);_(&quot;$&quot;* \(#,##0.00000\);_(&quot;$&quot;* &quot;-&quot;??_);_(@_)"/>
    <numFmt numFmtId="184" formatCode="_(&quot;$&quot;* #,##0.000000_);_(&quot;$&quot;* \(#,##0.000000\);_(&quot;$&quot;* &quot;-&quot;??_);_(@_)"/>
    <numFmt numFmtId="185" formatCode="_(&quot;$&quot;* #,##0.000_);_(&quot;$&quot;* \(#,##0.000\);_(&quot;$&quot;* &quot;-&quot;??_);_(@_)"/>
    <numFmt numFmtId="186" formatCode="_(&quot;$&quot;* #,##0.000_);_(&quot;$&quot;* \(#,##0.000\);_(&quot;$&quot;* &quot;-&quot;???_);_(@_)"/>
    <numFmt numFmtId="187" formatCode="_(&quot;$&quot;* #,##0.000000000_);_(&quot;$&quot;* \(#,##0.000000000\);_(&quot;$&quot;* &quot;-&quot;???????_);_(@_)"/>
  </numFmts>
  <fonts count="48" x14ac:knownFonts="1">
    <font>
      <sz val="10"/>
      <name val="Arial"/>
      <family val="2"/>
    </font>
    <font>
      <sz val="8"/>
      <color rgb="FF000000"/>
      <name val="Tahoma"/>
      <family val="2"/>
    </font>
    <font>
      <sz val="8"/>
      <color rgb="FF000000"/>
      <name val="Segoe UI"/>
      <family val="2"/>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sz val="10"/>
      <color indexed="10"/>
      <name val="Arial"/>
      <family val="2"/>
    </font>
    <font>
      <b/>
      <sz val="10"/>
      <color indexed="10"/>
      <name val="Arial"/>
      <family val="2"/>
    </font>
    <font>
      <sz val="8"/>
      <name val="Arial"/>
      <family val="2"/>
    </font>
    <font>
      <b/>
      <sz val="10"/>
      <color indexed="17"/>
      <name val="Arial"/>
      <family val="2"/>
    </font>
    <font>
      <sz val="10"/>
      <color rgb="FFFF0000"/>
      <name val="Arial"/>
      <family val="2"/>
    </font>
    <font>
      <b/>
      <sz val="8"/>
      <name val="Arial"/>
      <family val="2"/>
    </font>
    <font>
      <sz val="9"/>
      <name val="Arial"/>
      <family val="2"/>
    </font>
    <font>
      <u/>
      <sz val="10"/>
      <color indexed="12"/>
      <name val="Arial"/>
      <family val="2"/>
    </font>
    <font>
      <sz val="10"/>
      <color indexed="43"/>
      <name val="Arial"/>
      <family val="2"/>
    </font>
    <font>
      <sz val="8"/>
      <color indexed="10"/>
      <name val="Arial"/>
      <family val="2"/>
    </font>
    <font>
      <sz val="10"/>
      <color rgb="FFFFFF00"/>
      <name val="Arial"/>
      <family val="2"/>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b/>
      <sz val="8"/>
      <color indexed="10"/>
      <name val="Tahoma"/>
      <family val="2"/>
    </font>
    <font>
      <b/>
      <u/>
      <sz val="8"/>
      <color indexed="81"/>
      <name val="Tahoma"/>
      <family val="2"/>
    </font>
    <font>
      <b/>
      <sz val="9"/>
      <name val="Arial"/>
      <family val="2"/>
    </font>
    <font>
      <sz val="11"/>
      <name val="Calibri"/>
      <family val="2"/>
    </font>
    <font>
      <sz val="10"/>
      <color rgb="FF000000"/>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u/>
      <sz val="10"/>
      <name val="Arial"/>
      <family val="2"/>
    </font>
    <font>
      <sz val="10"/>
      <color indexed="17"/>
      <name val="Arial"/>
      <family val="2"/>
    </font>
    <font>
      <b/>
      <sz val="9"/>
      <color indexed="10"/>
      <name val="Arial"/>
      <family val="2"/>
    </font>
    <font>
      <b/>
      <sz val="10"/>
      <color rgb="FF0000FF"/>
      <name val="Arial"/>
      <family val="2"/>
    </font>
    <font>
      <b/>
      <sz val="20"/>
      <color indexed="10"/>
      <name val="Arial"/>
      <family val="2"/>
    </font>
    <font>
      <sz val="10"/>
      <color theme="1"/>
      <name val="Arial"/>
      <family val="2"/>
    </font>
    <font>
      <sz val="9"/>
      <color indexed="12"/>
      <name val="Arial"/>
      <family val="2"/>
    </font>
    <font>
      <b/>
      <sz val="16"/>
      <color indexed="10"/>
      <name val="Arial"/>
      <family val="2"/>
    </font>
    <font>
      <b/>
      <u/>
      <sz val="10"/>
      <color indexed="12"/>
      <name val="Arial"/>
      <family val="2"/>
    </font>
  </fonts>
  <fills count="6">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s>
  <cellStyleXfs count="10">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484">
    <xf numFmtId="0" fontId="0" fillId="0" borderId="0" xfId="0"/>
    <xf numFmtId="0" fontId="0" fillId="0" borderId="0" xfId="0" applyAlignment="1">
      <alignment horizontal="center"/>
    </xf>
    <xf numFmtId="0" fontId="0" fillId="2" borderId="0" xfId="0" applyFill="1"/>
    <xf numFmtId="0" fontId="0" fillId="2" borderId="0" xfId="0" applyFill="1" applyAlignment="1">
      <alignment horizontal="center"/>
    </xf>
    <xf numFmtId="3" fontId="0" fillId="0" borderId="0" xfId="0" applyNumberFormat="1"/>
    <xf numFmtId="0" fontId="3" fillId="2" borderId="0" xfId="0" applyFont="1" applyFill="1"/>
    <xf numFmtId="0" fontId="9" fillId="2" borderId="0" xfId="0" applyFont="1" applyFill="1"/>
    <xf numFmtId="0" fontId="9" fillId="0" borderId="4" xfId="0" applyFont="1" applyBorder="1" applyAlignment="1" applyProtection="1">
      <alignment horizontal="center"/>
      <protection locked="0"/>
    </xf>
    <xf numFmtId="17" fontId="11" fillId="2" borderId="5" xfId="0" applyNumberFormat="1" applyFont="1" applyFill="1" applyBorder="1"/>
    <xf numFmtId="17" fontId="11" fillId="2" borderId="5" xfId="0" applyNumberFormat="1" applyFont="1" applyFill="1" applyBorder="1" applyAlignment="1">
      <alignment horizontal="center"/>
    </xf>
    <xf numFmtId="17" fontId="11" fillId="2" borderId="0" xfId="0" applyNumberFormat="1" applyFont="1" applyFill="1" applyAlignment="1">
      <alignment horizontal="left"/>
    </xf>
    <xf numFmtId="0" fontId="11" fillId="2" borderId="0" xfId="0" applyFont="1" applyFill="1" applyAlignment="1">
      <alignment horizontal="center"/>
    </xf>
    <xf numFmtId="41" fontId="9" fillId="0" borderId="4" xfId="1" applyNumberFormat="1" applyFont="1" applyFill="1" applyBorder="1" applyProtection="1">
      <protection locked="0"/>
    </xf>
    <xf numFmtId="0" fontId="0" fillId="2" borderId="0" xfId="0" applyFill="1" applyAlignment="1">
      <alignment horizontal="left"/>
    </xf>
    <xf numFmtId="3" fontId="0" fillId="2" borderId="0" xfId="0" applyNumberFormat="1" applyFill="1"/>
    <xf numFmtId="164" fontId="0" fillId="2" borderId="0" xfId="0" applyNumberFormat="1" applyFill="1"/>
    <xf numFmtId="1" fontId="9" fillId="2" borderId="0" xfId="0" applyNumberFormat="1" applyFont="1" applyFill="1" applyAlignment="1" applyProtection="1">
      <alignment horizontal="right"/>
      <protection locked="0"/>
    </xf>
    <xf numFmtId="8" fontId="0" fillId="0" borderId="0" xfId="0" applyNumberFormat="1"/>
    <xf numFmtId="3" fontId="13" fillId="0" borderId="4" xfId="0" applyNumberFormat="1" applyFont="1" applyBorder="1" applyProtection="1">
      <protection locked="0"/>
    </xf>
    <xf numFmtId="165" fontId="9" fillId="0" borderId="4" xfId="1" applyNumberFormat="1" applyFont="1" applyFill="1" applyBorder="1" applyProtection="1">
      <protection locked="0"/>
    </xf>
    <xf numFmtId="2" fontId="14" fillId="2" borderId="0" xfId="0" applyNumberFormat="1" applyFont="1" applyFill="1"/>
    <xf numFmtId="8" fontId="15" fillId="2" borderId="0" xfId="0" applyNumberFormat="1" applyFont="1" applyFill="1" applyAlignment="1">
      <alignment horizontal="left"/>
    </xf>
    <xf numFmtId="3" fontId="3" fillId="2" borderId="0" xfId="0" applyNumberFormat="1" applyFont="1" applyFill="1"/>
    <xf numFmtId="0" fontId="16" fillId="0" borderId="0" xfId="4" applyAlignment="1" applyProtection="1"/>
    <xf numFmtId="0" fontId="9" fillId="3" borderId="0" xfId="0" applyFont="1" applyFill="1"/>
    <xf numFmtId="43" fontId="9" fillId="0" borderId="4" xfId="1" applyFont="1" applyFill="1" applyBorder="1" applyProtection="1">
      <protection locked="0"/>
    </xf>
    <xf numFmtId="0" fontId="17" fillId="2" borderId="0" xfId="0" applyFont="1" applyFill="1"/>
    <xf numFmtId="0" fontId="0" fillId="2" borderId="0" xfId="0" applyFill="1" applyAlignment="1">
      <alignment horizontal="right"/>
    </xf>
    <xf numFmtId="166" fontId="9" fillId="0" borderId="4" xfId="3" applyNumberFormat="1" applyFont="1" applyFill="1" applyBorder="1" applyAlignment="1" applyProtection="1">
      <alignment horizontal="center"/>
      <protection locked="0"/>
    </xf>
    <xf numFmtId="8" fontId="3" fillId="2" borderId="0" xfId="0" applyNumberFormat="1" applyFont="1" applyFill="1" applyAlignment="1">
      <alignment horizontal="right"/>
    </xf>
    <xf numFmtId="166" fontId="6" fillId="2" borderId="0" xfId="0" applyNumberFormat="1" applyFont="1" applyFill="1" applyAlignment="1">
      <alignment horizontal="center"/>
    </xf>
    <xf numFmtId="0" fontId="3" fillId="2" borderId="0" xfId="0" applyFont="1" applyFill="1" applyAlignment="1" applyProtection="1">
      <alignment horizontal="center"/>
      <protection hidden="1"/>
    </xf>
    <xf numFmtId="0" fontId="9" fillId="2" borderId="0" xfId="0" applyFont="1" applyFill="1" applyAlignment="1">
      <alignment vertical="center" wrapText="1"/>
    </xf>
    <xf numFmtId="0" fontId="3" fillId="2" borderId="0" xfId="0" applyFont="1" applyFill="1" applyProtection="1">
      <protection locked="0"/>
    </xf>
    <xf numFmtId="0" fontId="19" fillId="2" borderId="0" xfId="0" applyFont="1" applyFill="1" applyAlignment="1" applyProtection="1">
      <alignment horizontal="left"/>
      <protection locked="0"/>
    </xf>
    <xf numFmtId="0" fontId="3" fillId="2" borderId="0" xfId="0" applyFont="1" applyFill="1" applyAlignment="1" applyProtection="1">
      <alignment horizontal="left"/>
      <protection locked="0"/>
    </xf>
    <xf numFmtId="0" fontId="9" fillId="2" borderId="0" xfId="0" applyFont="1" applyFill="1" applyAlignment="1">
      <alignment horizontal="left" vertical="center" wrapText="1"/>
    </xf>
    <xf numFmtId="0" fontId="3" fillId="2" borderId="0" xfId="0" applyFont="1" applyFill="1" applyProtection="1">
      <protection locked="0" hidden="1"/>
    </xf>
    <xf numFmtId="0" fontId="13" fillId="2" borderId="0" xfId="0" applyFont="1" applyFill="1" applyAlignment="1">
      <alignment horizontal="left" vertical="center" wrapText="1"/>
    </xf>
    <xf numFmtId="6" fontId="19" fillId="2" borderId="0" xfId="0" applyNumberFormat="1" applyFont="1" applyFill="1" applyAlignment="1">
      <alignment horizontal="left"/>
    </xf>
    <xf numFmtId="6" fontId="3" fillId="2" borderId="0" xfId="0" applyNumberFormat="1" applyFont="1" applyFill="1"/>
    <xf numFmtId="0" fontId="17" fillId="2" borderId="0" xfId="0" applyFont="1" applyFill="1" applyProtection="1">
      <protection locked="0" hidden="1"/>
    </xf>
    <xf numFmtId="0" fontId="20" fillId="2" borderId="0" xfId="0" applyFont="1" applyFill="1"/>
    <xf numFmtId="14" fontId="3" fillId="2" borderId="0" xfId="0" applyNumberFormat="1" applyFont="1" applyFill="1"/>
    <xf numFmtId="0" fontId="3" fillId="0" borderId="0" xfId="0" applyFont="1"/>
    <xf numFmtId="0" fontId="27" fillId="4" borderId="0" xfId="5" applyFont="1" applyFill="1" applyAlignment="1">
      <alignment vertical="center" wrapText="1"/>
    </xf>
    <xf numFmtId="0" fontId="15" fillId="0" borderId="0" xfId="5" applyFont="1"/>
    <xf numFmtId="0" fontId="15" fillId="4" borderId="0" xfId="5" applyFont="1" applyFill="1" applyAlignment="1">
      <alignment vertical="center" wrapText="1"/>
    </xf>
    <xf numFmtId="0" fontId="3" fillId="0" borderId="0" xfId="5"/>
    <xf numFmtId="0" fontId="27" fillId="0" borderId="0" xfId="5" applyFont="1" applyAlignment="1">
      <alignment vertical="center" wrapText="1"/>
    </xf>
    <xf numFmtId="0" fontId="28" fillId="0" borderId="0" xfId="5" applyFont="1" applyAlignment="1">
      <alignment vertical="center"/>
    </xf>
    <xf numFmtId="0" fontId="15" fillId="0" borderId="0" xfId="5" applyFont="1" applyAlignment="1">
      <alignment vertical="center" wrapText="1"/>
    </xf>
    <xf numFmtId="0" fontId="30" fillId="4" borderId="0" xfId="0" applyFont="1" applyFill="1"/>
    <xf numFmtId="0" fontId="31" fillId="0" borderId="0" xfId="0" applyFont="1"/>
    <xf numFmtId="44" fontId="32" fillId="0" borderId="0" xfId="0" applyNumberFormat="1" applyFont="1"/>
    <xf numFmtId="44" fontId="33" fillId="0" borderId="0" xfId="0" applyNumberFormat="1" applyFont="1" applyAlignment="1">
      <alignment horizontal="center"/>
    </xf>
    <xf numFmtId="167" fontId="34" fillId="0" borderId="0" xfId="0" applyNumberFormat="1" applyFont="1" applyAlignment="1">
      <alignment horizontal="left"/>
    </xf>
    <xf numFmtId="0" fontId="35" fillId="0" borderId="0" xfId="0" applyFont="1"/>
    <xf numFmtId="0" fontId="36" fillId="0" borderId="0" xfId="0" applyFont="1"/>
    <xf numFmtId="0" fontId="37" fillId="0" borderId="0" xfId="0" applyFont="1"/>
    <xf numFmtId="14" fontId="0" fillId="0" borderId="0" xfId="0" applyNumberFormat="1"/>
    <xf numFmtId="0" fontId="35" fillId="0" borderId="0" xfId="0" applyFont="1" applyAlignment="1">
      <alignment horizontal="left"/>
    </xf>
    <xf numFmtId="0" fontId="38" fillId="0" borderId="0" xfId="0" applyFont="1"/>
    <xf numFmtId="0" fontId="37" fillId="4" borderId="0" xfId="0" applyFont="1" applyFill="1" applyAlignment="1">
      <alignment horizontal="left"/>
    </xf>
    <xf numFmtId="0" fontId="37" fillId="0" borderId="0" xfId="0" applyFont="1" applyAlignment="1">
      <alignment horizontal="left"/>
    </xf>
    <xf numFmtId="0" fontId="35" fillId="4" borderId="5" xfId="0" applyFont="1" applyFill="1" applyBorder="1"/>
    <xf numFmtId="0" fontId="37" fillId="4" borderId="5" xfId="0" applyFont="1" applyFill="1" applyBorder="1"/>
    <xf numFmtId="0" fontId="0" fillId="4" borderId="5" xfId="0" applyFill="1" applyBorder="1"/>
    <xf numFmtId="0" fontId="0" fillId="0" borderId="0" xfId="0" applyAlignment="1">
      <alignment horizontal="right"/>
    </xf>
    <xf numFmtId="0" fontId="10" fillId="4" borderId="0" xfId="0" applyFont="1" applyFill="1"/>
    <xf numFmtId="0" fontId="36" fillId="4" borderId="0" xfId="0" applyFont="1" applyFill="1"/>
    <xf numFmtId="14" fontId="37" fillId="4" borderId="0" xfId="0" applyNumberFormat="1" applyFont="1" applyFill="1" applyAlignment="1">
      <alignment horizontal="left"/>
    </xf>
    <xf numFmtId="0" fontId="0" fillId="4" borderId="0" xfId="0" applyFill="1"/>
    <xf numFmtId="168" fontId="15" fillId="4" borderId="0" xfId="0" quotePrefix="1" applyNumberFormat="1" applyFont="1" applyFill="1" applyAlignment="1">
      <alignment horizontal="center"/>
    </xf>
    <xf numFmtId="0" fontId="34" fillId="4" borderId="0" xfId="0" applyFont="1" applyFill="1"/>
    <xf numFmtId="166" fontId="3" fillId="4" borderId="0" xfId="3" applyNumberFormat="1" applyFont="1" applyFill="1" applyBorder="1"/>
    <xf numFmtId="0" fontId="3" fillId="4" borderId="0" xfId="0" applyFont="1" applyFill="1"/>
    <xf numFmtId="168" fontId="0" fillId="4" borderId="0" xfId="0" applyNumberFormat="1" applyFill="1"/>
    <xf numFmtId="3" fontId="20" fillId="4" borderId="0" xfId="0" applyNumberFormat="1" applyFont="1" applyFill="1"/>
    <xf numFmtId="0" fontId="34" fillId="4" borderId="5" xfId="0" applyFont="1" applyFill="1" applyBorder="1"/>
    <xf numFmtId="3" fontId="20" fillId="4" borderId="5" xfId="0" applyNumberFormat="1" applyFont="1" applyFill="1" applyBorder="1"/>
    <xf numFmtId="0" fontId="9" fillId="4" borderId="5" xfId="0" applyFont="1" applyFill="1" applyBorder="1"/>
    <xf numFmtId="44" fontId="20" fillId="4" borderId="5" xfId="2" applyFont="1" applyFill="1" applyBorder="1"/>
    <xf numFmtId="0" fontId="0" fillId="4" borderId="6" xfId="0" applyFill="1" applyBorder="1"/>
    <xf numFmtId="0" fontId="0" fillId="4" borderId="0" xfId="0" applyFill="1" applyAlignment="1">
      <alignment horizontal="center"/>
    </xf>
    <xf numFmtId="0" fontId="0" fillId="4" borderId="4" xfId="0" applyFill="1" applyBorder="1" applyAlignment="1">
      <alignment horizontal="center"/>
    </xf>
    <xf numFmtId="0" fontId="6" fillId="4" borderId="4" xfId="0" applyFont="1" applyFill="1" applyBorder="1" applyAlignment="1">
      <alignment horizontal="center"/>
    </xf>
    <xf numFmtId="0" fontId="39" fillId="4" borderId="0" xfId="0" applyFont="1" applyFill="1" applyAlignment="1">
      <alignment horizontal="center"/>
    </xf>
    <xf numFmtId="44" fontId="3" fillId="0" borderId="4" xfId="2" applyFont="1" applyFill="1" applyBorder="1"/>
    <xf numFmtId="44" fontId="3" fillId="0" borderId="4" xfId="2" applyFill="1" applyBorder="1"/>
    <xf numFmtId="169" fontId="3" fillId="0" borderId="4" xfId="2" applyNumberFormat="1" applyFill="1" applyBorder="1"/>
    <xf numFmtId="44" fontId="3" fillId="5" borderId="4" xfId="2" applyFill="1" applyBorder="1"/>
    <xf numFmtId="14" fontId="15" fillId="4" borderId="0" xfId="0" quotePrefix="1" applyNumberFormat="1" applyFont="1" applyFill="1" applyAlignment="1">
      <alignment horizontal="center"/>
    </xf>
    <xf numFmtId="170" fontId="3" fillId="4" borderId="0" xfId="3" applyNumberFormat="1" applyFill="1" applyBorder="1"/>
    <xf numFmtId="0" fontId="15" fillId="4" borderId="0" xfId="0" applyFont="1" applyFill="1"/>
    <xf numFmtId="44" fontId="3" fillId="4" borderId="0" xfId="2" applyFill="1" applyBorder="1"/>
    <xf numFmtId="0" fontId="3" fillId="4" borderId="0" xfId="2" applyNumberFormat="1" applyFont="1" applyFill="1" applyBorder="1"/>
    <xf numFmtId="3" fontId="15" fillId="4" borderId="0" xfId="0" applyNumberFormat="1" applyFont="1" applyFill="1"/>
    <xf numFmtId="171" fontId="3" fillId="0" borderId="4" xfId="6" applyNumberFormat="1" applyFill="1" applyBorder="1"/>
    <xf numFmtId="171" fontId="3" fillId="0" borderId="4" xfId="2" applyNumberFormat="1" applyFill="1" applyBorder="1"/>
    <xf numFmtId="172" fontId="3" fillId="0" borderId="4" xfId="2" applyNumberFormat="1" applyFill="1" applyBorder="1"/>
    <xf numFmtId="171" fontId="3" fillId="4" borderId="0" xfId="2" applyNumberFormat="1" applyFill="1" applyBorder="1"/>
    <xf numFmtId="0" fontId="6" fillId="4" borderId="0" xfId="0" applyFont="1" applyFill="1"/>
    <xf numFmtId="3" fontId="6" fillId="4" borderId="0" xfId="0" applyNumberFormat="1" applyFont="1" applyFill="1"/>
    <xf numFmtId="0" fontId="27" fillId="4" borderId="0" xfId="0" applyFont="1" applyFill="1"/>
    <xf numFmtId="44" fontId="35" fillId="4" borderId="0" xfId="0" applyNumberFormat="1" applyFont="1" applyFill="1" applyAlignment="1">
      <alignment horizontal="center"/>
    </xf>
    <xf numFmtId="0" fontId="6" fillId="4" borderId="5" xfId="0" applyFont="1" applyFill="1" applyBorder="1"/>
    <xf numFmtId="3" fontId="6" fillId="4" borderId="5" xfId="0" applyNumberFormat="1" applyFont="1" applyFill="1" applyBorder="1"/>
    <xf numFmtId="0" fontId="27" fillId="4" borderId="5" xfId="0" applyFont="1" applyFill="1" applyBorder="1"/>
    <xf numFmtId="0" fontId="0" fillId="4" borderId="5" xfId="0" applyFill="1" applyBorder="1" applyAlignment="1">
      <alignment horizontal="center"/>
    </xf>
    <xf numFmtId="0" fontId="40" fillId="4" borderId="0" xfId="0" applyFont="1" applyFill="1"/>
    <xf numFmtId="3" fontId="0" fillId="4" borderId="0" xfId="0" applyNumberFormat="1" applyFill="1"/>
    <xf numFmtId="173" fontId="3" fillId="0" borderId="4" xfId="2" applyNumberFormat="1" applyFill="1" applyBorder="1"/>
    <xf numFmtId="7" fontId="6" fillId="0" borderId="0" xfId="2" applyNumberFormat="1" applyFont="1" applyBorder="1"/>
    <xf numFmtId="174" fontId="0" fillId="0" borderId="4" xfId="0" applyNumberFormat="1" applyBorder="1" applyAlignment="1">
      <alignment horizontal="right"/>
    </xf>
    <xf numFmtId="171" fontId="0" fillId="0" borderId="4" xfId="0" applyNumberFormat="1" applyBorder="1" applyAlignment="1">
      <alignment horizontal="right"/>
    </xf>
    <xf numFmtId="175" fontId="3" fillId="0" borderId="4" xfId="2" applyNumberFormat="1" applyFill="1" applyBorder="1"/>
    <xf numFmtId="176" fontId="3" fillId="0" borderId="4" xfId="2" applyNumberFormat="1" applyFill="1" applyBorder="1"/>
    <xf numFmtId="0" fontId="0" fillId="0" borderId="4" xfId="0" applyBorder="1" applyAlignment="1">
      <alignment horizontal="center"/>
    </xf>
    <xf numFmtId="170" fontId="0" fillId="0" borderId="4" xfId="0" applyNumberFormat="1" applyBorder="1" applyAlignment="1">
      <alignment horizontal="right"/>
    </xf>
    <xf numFmtId="170" fontId="3" fillId="4" borderId="4" xfId="3" applyNumberFormat="1" applyFill="1" applyBorder="1" applyAlignment="1">
      <alignment horizontal="center"/>
    </xf>
    <xf numFmtId="44" fontId="0" fillId="0" borderId="4" xfId="0" applyNumberFormat="1" applyBorder="1" applyAlignment="1">
      <alignment horizontal="right"/>
    </xf>
    <xf numFmtId="170" fontId="0" fillId="0" borderId="4" xfId="3" applyNumberFormat="1" applyFont="1" applyFill="1" applyBorder="1" applyAlignment="1">
      <alignment horizontal="right"/>
    </xf>
    <xf numFmtId="7" fontId="0" fillId="0" borderId="4" xfId="0" applyNumberFormat="1" applyBorder="1" applyAlignment="1">
      <alignment horizontal="right"/>
    </xf>
    <xf numFmtId="44" fontId="0" fillId="0" borderId="4" xfId="2" applyFont="1" applyFill="1" applyBorder="1" applyAlignment="1">
      <alignment horizontal="right"/>
    </xf>
    <xf numFmtId="7" fontId="3" fillId="0" borderId="4" xfId="2" applyNumberFormat="1" applyFill="1" applyBorder="1"/>
    <xf numFmtId="0" fontId="3" fillId="4" borderId="0" xfId="0" applyFont="1" applyFill="1" applyAlignment="1">
      <alignment horizontal="center"/>
    </xf>
    <xf numFmtId="171" fontId="0" fillId="0" borderId="4" xfId="2" applyNumberFormat="1" applyFont="1" applyFill="1" applyBorder="1"/>
    <xf numFmtId="44" fontId="0" fillId="0" borderId="4" xfId="2" applyFont="1" applyFill="1" applyBorder="1"/>
    <xf numFmtId="177" fontId="15" fillId="4" borderId="0" xfId="0" quotePrefix="1" applyNumberFormat="1" applyFont="1" applyFill="1" applyAlignment="1">
      <alignment horizontal="center"/>
    </xf>
    <xf numFmtId="0" fontId="35" fillId="4" borderId="0" xfId="0" applyFont="1" applyFill="1"/>
    <xf numFmtId="3" fontId="10" fillId="4" borderId="0" xfId="0" applyNumberFormat="1" applyFont="1" applyFill="1"/>
    <xf numFmtId="3" fontId="41" fillId="4" borderId="0" xfId="0" applyNumberFormat="1" applyFont="1" applyFill="1"/>
    <xf numFmtId="0" fontId="10" fillId="4" borderId="0" xfId="0" applyFont="1" applyFill="1" applyAlignment="1">
      <alignment horizontal="center"/>
    </xf>
    <xf numFmtId="0" fontId="41" fillId="4" borderId="0" xfId="0" applyFont="1" applyFill="1"/>
    <xf numFmtId="17" fontId="41" fillId="4" borderId="0" xfId="0" quotePrefix="1" applyNumberFormat="1" applyFont="1" applyFill="1" applyAlignment="1">
      <alignment horizontal="center"/>
    </xf>
    <xf numFmtId="44" fontId="6" fillId="4" borderId="0" xfId="2" applyFont="1" applyFill="1" applyBorder="1"/>
    <xf numFmtId="17" fontId="15" fillId="4" borderId="0" xfId="0" quotePrefix="1" applyNumberFormat="1" applyFont="1" applyFill="1" applyAlignment="1">
      <alignment horizontal="center"/>
    </xf>
    <xf numFmtId="0" fontId="10" fillId="4" borderId="5" xfId="0" applyFont="1" applyFill="1" applyBorder="1"/>
    <xf numFmtId="44" fontId="10" fillId="4" borderId="5" xfId="0" applyNumberFormat="1" applyFont="1" applyFill="1" applyBorder="1" applyAlignment="1">
      <alignment horizontal="center"/>
    </xf>
    <xf numFmtId="44" fontId="10" fillId="4" borderId="5" xfId="2" applyFont="1" applyFill="1" applyBorder="1"/>
    <xf numFmtId="44" fontId="10" fillId="4" borderId="0" xfId="2" applyFont="1" applyFill="1" applyBorder="1"/>
    <xf numFmtId="44" fontId="10" fillId="0" borderId="0" xfId="2" applyFont="1"/>
    <xf numFmtId="39" fontId="6" fillId="4" borderId="0" xfId="0" applyNumberFormat="1" applyFont="1" applyFill="1"/>
    <xf numFmtId="0" fontId="6" fillId="0" borderId="0" xfId="0" applyFont="1"/>
    <xf numFmtId="166" fontId="6" fillId="0" borderId="0" xfId="3" applyNumberFormat="1" applyFont="1"/>
    <xf numFmtId="0" fontId="42" fillId="0" borderId="0" xfId="0" applyFont="1" applyAlignment="1">
      <alignment horizontal="left"/>
    </xf>
    <xf numFmtId="39" fontId="42" fillId="4" borderId="0" xfId="0" applyNumberFormat="1" applyFont="1" applyFill="1"/>
    <xf numFmtId="0" fontId="20" fillId="0" borderId="0" xfId="0" applyFont="1"/>
    <xf numFmtId="39" fontId="20" fillId="0" borderId="0" xfId="2" applyNumberFormat="1" applyFont="1"/>
    <xf numFmtId="39" fontId="37" fillId="0" borderId="0" xfId="2" applyNumberFormat="1" applyFont="1"/>
    <xf numFmtId="17" fontId="3" fillId="0" borderId="0" xfId="2" applyNumberFormat="1" applyFont="1" applyAlignment="1">
      <alignment horizontal="center"/>
    </xf>
    <xf numFmtId="3" fontId="15" fillId="0" borderId="0" xfId="0" applyNumberFormat="1" applyFont="1"/>
    <xf numFmtId="0" fontId="6" fillId="0" borderId="0" xfId="0" applyFont="1" applyAlignment="1">
      <alignment horizontal="left"/>
    </xf>
    <xf numFmtId="0" fontId="15" fillId="0" borderId="0" xfId="0" applyFont="1"/>
    <xf numFmtId="0" fontId="10" fillId="0" borderId="0" xfId="0" applyFont="1"/>
    <xf numFmtId="0" fontId="30" fillId="0" borderId="0" xfId="0" applyFont="1"/>
    <xf numFmtId="0" fontId="0" fillId="0" borderId="5" xfId="0" applyBorder="1"/>
    <xf numFmtId="0" fontId="34" fillId="0" borderId="0" xfId="0" applyFont="1"/>
    <xf numFmtId="3" fontId="20" fillId="0" borderId="0" xfId="0" applyNumberFormat="1" applyFont="1"/>
    <xf numFmtId="0" fontId="9" fillId="0" borderId="0" xfId="0" applyFont="1"/>
    <xf numFmtId="168" fontId="0" fillId="0" borderId="0" xfId="0" applyNumberFormat="1"/>
    <xf numFmtId="0" fontId="10" fillId="0" borderId="7" xfId="0" applyFont="1" applyBorder="1"/>
    <xf numFmtId="0" fontId="0" fillId="0" borderId="7" xfId="0" applyBorder="1"/>
    <xf numFmtId="0" fontId="0" fillId="0" borderId="8" xfId="0" applyBorder="1" applyAlignment="1">
      <alignment horizontal="center"/>
    </xf>
    <xf numFmtId="0" fontId="6" fillId="0" borderId="4" xfId="0" applyFont="1" applyBorder="1" applyAlignment="1">
      <alignment horizontal="center"/>
    </xf>
    <xf numFmtId="0" fontId="3" fillId="0" borderId="0" xfId="0" applyFont="1" applyAlignment="1">
      <alignment horizontal="center"/>
    </xf>
    <xf numFmtId="0" fontId="0" fillId="0" borderId="4" xfId="0" applyBorder="1"/>
    <xf numFmtId="44" fontId="3" fillId="0" borderId="4" xfId="2" applyBorder="1"/>
    <xf numFmtId="172" fontId="3" fillId="0" borderId="4" xfId="2" applyNumberFormat="1" applyBorder="1"/>
    <xf numFmtId="3" fontId="6" fillId="0" borderId="0" xfId="0" applyNumberFormat="1" applyFont="1"/>
    <xf numFmtId="44" fontId="6" fillId="0" borderId="0" xfId="2" applyFont="1"/>
    <xf numFmtId="0" fontId="27" fillId="0" borderId="0" xfId="0" applyFont="1"/>
    <xf numFmtId="44" fontId="6" fillId="0" borderId="0" xfId="0" applyNumberFormat="1" applyFont="1"/>
    <xf numFmtId="44" fontId="3" fillId="0" borderId="0" xfId="0" applyNumberFormat="1" applyFont="1"/>
    <xf numFmtId="178" fontId="3" fillId="0" borderId="4" xfId="2" applyNumberFormat="1" applyFill="1" applyBorder="1"/>
    <xf numFmtId="44" fontId="6" fillId="0" borderId="0" xfId="2" applyFont="1" applyBorder="1"/>
    <xf numFmtId="179" fontId="20" fillId="0" borderId="0" xfId="0" applyNumberFormat="1" applyFont="1"/>
    <xf numFmtId="41" fontId="34" fillId="4" borderId="0" xfId="0" applyNumberFormat="1" applyFont="1" applyFill="1"/>
    <xf numFmtId="0" fontId="3" fillId="4" borderId="9" xfId="0" applyFont="1" applyFill="1" applyBorder="1"/>
    <xf numFmtId="167" fontId="34" fillId="0" borderId="0" xfId="0" applyNumberFormat="1" applyFont="1"/>
    <xf numFmtId="171" fontId="3" fillId="0" borderId="4" xfId="2" applyNumberFormat="1" applyBorder="1"/>
    <xf numFmtId="44" fontId="3" fillId="0" borderId="4" xfId="2" applyFont="1" applyBorder="1"/>
    <xf numFmtId="171" fontId="0" fillId="0" borderId="4" xfId="2" applyNumberFormat="1" applyFont="1" applyFill="1" applyBorder="1" applyAlignment="1">
      <alignment horizontal="right"/>
    </xf>
    <xf numFmtId="0" fontId="20" fillId="0" borderId="7" xfId="0" applyFont="1" applyBorder="1" applyAlignment="1">
      <alignment vertical="center" wrapText="1"/>
    </xf>
    <xf numFmtId="0" fontId="20" fillId="0" borderId="0" xfId="0" applyFont="1" applyAlignment="1">
      <alignment vertical="center" wrapText="1"/>
    </xf>
    <xf numFmtId="0" fontId="6" fillId="0" borderId="5" xfId="0" applyFont="1" applyBorder="1"/>
    <xf numFmtId="0" fontId="6" fillId="0" borderId="5" xfId="0" applyFont="1" applyBorder="1" applyAlignment="1">
      <alignment horizontal="center"/>
    </xf>
    <xf numFmtId="44" fontId="20" fillId="0" borderId="0" xfId="2" applyFont="1" applyFill="1"/>
    <xf numFmtId="44" fontId="0" fillId="0" borderId="4" xfId="2" applyFont="1" applyBorder="1"/>
    <xf numFmtId="44" fontId="0" fillId="0" borderId="4" xfId="0" applyNumberFormat="1" applyBorder="1"/>
    <xf numFmtId="171" fontId="0" fillId="0" borderId="4" xfId="2" applyNumberFormat="1" applyFont="1" applyBorder="1"/>
    <xf numFmtId="0" fontId="34" fillId="0" borderId="5" xfId="0" applyFont="1" applyBorder="1"/>
    <xf numFmtId="0" fontId="9" fillId="0" borderId="5" xfId="0" applyFont="1" applyBorder="1"/>
    <xf numFmtId="0" fontId="35" fillId="0" borderId="5" xfId="0" applyFont="1" applyBorder="1"/>
    <xf numFmtId="171" fontId="0" fillId="0" borderId="4" xfId="7" applyNumberFormat="1" applyFont="1" applyFill="1" applyBorder="1"/>
    <xf numFmtId="44" fontId="0" fillId="0" borderId="4" xfId="7" applyFont="1" applyFill="1" applyBorder="1"/>
    <xf numFmtId="171" fontId="3" fillId="4" borderId="0" xfId="2" applyNumberFormat="1" applyFont="1" applyFill="1" applyBorder="1"/>
    <xf numFmtId="0" fontId="44" fillId="0" borderId="0" xfId="0" applyFont="1"/>
    <xf numFmtId="180" fontId="0" fillId="4" borderId="0" xfId="0" applyNumberFormat="1" applyFill="1" applyAlignment="1">
      <alignment horizontal="right"/>
    </xf>
    <xf numFmtId="180" fontId="0" fillId="4" borderId="0" xfId="0" applyNumberFormat="1" applyFill="1"/>
    <xf numFmtId="168" fontId="3" fillId="4" borderId="0" xfId="0" applyNumberFormat="1" applyFont="1" applyFill="1" applyAlignment="1">
      <alignment horizontal="center"/>
    </xf>
    <xf numFmtId="0" fontId="0" fillId="0" borderId="0" xfId="0" applyAlignment="1">
      <alignment horizontal="center" vertical="center"/>
    </xf>
    <xf numFmtId="0" fontId="0" fillId="4" borderId="0" xfId="0" applyFill="1" applyAlignment="1">
      <alignment horizontal="center" vertical="center"/>
    </xf>
    <xf numFmtId="0" fontId="10" fillId="0" borderId="5" xfId="0" applyFont="1" applyBorder="1"/>
    <xf numFmtId="180" fontId="0" fillId="0" borderId="0" xfId="0" applyNumberFormat="1"/>
    <xf numFmtId="181" fontId="20" fillId="0" borderId="0" xfId="0" applyNumberFormat="1" applyFont="1"/>
    <xf numFmtId="166" fontId="20" fillId="0" borderId="0" xfId="3" applyNumberFormat="1" applyFont="1" applyFill="1" applyBorder="1"/>
    <xf numFmtId="166" fontId="20" fillId="0" borderId="0" xfId="0" applyNumberFormat="1" applyFont="1"/>
    <xf numFmtId="4" fontId="20" fillId="0" borderId="0" xfId="0" applyNumberFormat="1" applyFont="1"/>
    <xf numFmtId="182" fontId="20" fillId="0" borderId="0" xfId="1" applyNumberFormat="1" applyFont="1"/>
    <xf numFmtId="183" fontId="0" fillId="0" borderId="4" xfId="2" applyNumberFormat="1" applyFont="1" applyBorder="1"/>
    <xf numFmtId="183" fontId="0" fillId="0" borderId="4" xfId="0" applyNumberFormat="1" applyBorder="1"/>
    <xf numFmtId="44" fontId="0" fillId="0" borderId="0" xfId="2" applyFont="1"/>
    <xf numFmtId="172" fontId="0" fillId="0" borderId="4" xfId="2" applyNumberFormat="1" applyFont="1" applyBorder="1"/>
    <xf numFmtId="178" fontId="0" fillId="0" borderId="4" xfId="2" applyNumberFormat="1" applyFont="1" applyBorder="1"/>
    <xf numFmtId="173" fontId="0" fillId="0" borderId="4" xfId="2" applyNumberFormat="1" applyFont="1" applyBorder="1"/>
    <xf numFmtId="7" fontId="6" fillId="0" borderId="0" xfId="0" applyNumberFormat="1" applyFont="1"/>
    <xf numFmtId="171" fontId="0" fillId="0" borderId="0" xfId="2" applyNumberFormat="1" applyFont="1"/>
    <xf numFmtId="44" fontId="10" fillId="0" borderId="5" xfId="2" applyFont="1" applyBorder="1"/>
    <xf numFmtId="184" fontId="3" fillId="0" borderId="0" xfId="2" applyNumberFormat="1" applyFont="1"/>
    <xf numFmtId="184" fontId="20" fillId="0" borderId="0" xfId="2" applyNumberFormat="1" applyFont="1"/>
    <xf numFmtId="0" fontId="45" fillId="0" borderId="0" xfId="0" applyFont="1"/>
    <xf numFmtId="39" fontId="6" fillId="0" borderId="0" xfId="2" applyNumberFormat="1" applyFont="1"/>
    <xf numFmtId="44" fontId="46" fillId="0" borderId="0" xfId="2" applyFont="1"/>
    <xf numFmtId="166" fontId="3" fillId="0" borderId="0" xfId="3" applyNumberFormat="1" applyFont="1"/>
    <xf numFmtId="9" fontId="3" fillId="0" borderId="0" xfId="3" applyFont="1"/>
    <xf numFmtId="44" fontId="6" fillId="0" borderId="0" xfId="3" applyNumberFormat="1" applyFont="1"/>
    <xf numFmtId="39" fontId="6" fillId="0" borderId="0" xfId="0" applyNumberFormat="1" applyFont="1"/>
    <xf numFmtId="167" fontId="34" fillId="0" borderId="0" xfId="0" applyNumberFormat="1" applyFont="1" applyAlignment="1">
      <alignment horizontal="center" vertical="center"/>
    </xf>
    <xf numFmtId="0" fontId="0" fillId="5" borderId="0" xfId="0" applyFill="1"/>
    <xf numFmtId="44" fontId="33" fillId="5" borderId="0" xfId="0" applyNumberFormat="1" applyFont="1" applyFill="1" applyAlignment="1">
      <alignment horizontal="center"/>
    </xf>
    <xf numFmtId="167" fontId="34" fillId="5" borderId="0" xfId="0" applyNumberFormat="1" applyFont="1" applyFill="1" applyAlignment="1">
      <alignment horizontal="left"/>
    </xf>
    <xf numFmtId="0" fontId="3" fillId="5" borderId="0" xfId="0" applyFont="1" applyFill="1"/>
    <xf numFmtId="0" fontId="35" fillId="5" borderId="0" xfId="0" applyFont="1" applyFill="1"/>
    <xf numFmtId="0" fontId="36" fillId="5" borderId="0" xfId="0" applyFont="1" applyFill="1"/>
    <xf numFmtId="0" fontId="37" fillId="5" borderId="0" xfId="0" applyFont="1" applyFill="1"/>
    <xf numFmtId="14" fontId="0" fillId="5" borderId="0" xfId="0" applyNumberFormat="1" applyFill="1"/>
    <xf numFmtId="0" fontId="35" fillId="5" borderId="0" xfId="0" applyFont="1" applyFill="1" applyAlignment="1">
      <alignment horizontal="left"/>
    </xf>
    <xf numFmtId="0" fontId="38" fillId="5" borderId="0" xfId="0" applyFont="1" applyFill="1"/>
    <xf numFmtId="0" fontId="37" fillId="5" borderId="0" xfId="0" applyFont="1" applyFill="1" applyAlignment="1">
      <alignment horizontal="left"/>
    </xf>
    <xf numFmtId="0" fontId="6" fillId="5" borderId="5" xfId="0" applyFont="1" applyFill="1" applyBorder="1"/>
    <xf numFmtId="0" fontId="6" fillId="5" borderId="5" xfId="0" applyFont="1" applyFill="1" applyBorder="1" applyAlignment="1">
      <alignment horizontal="center"/>
    </xf>
    <xf numFmtId="0" fontId="0" fillId="5" borderId="0" xfId="0" applyFill="1" applyAlignment="1">
      <alignment horizontal="right"/>
    </xf>
    <xf numFmtId="0" fontId="10" fillId="5" borderId="7" xfId="0" applyFont="1" applyFill="1" applyBorder="1"/>
    <xf numFmtId="0" fontId="0" fillId="5" borderId="7" xfId="0" applyFill="1" applyBorder="1"/>
    <xf numFmtId="168" fontId="0" fillId="5" borderId="0" xfId="0" applyNumberFormat="1" applyFill="1"/>
    <xf numFmtId="0" fontId="34" fillId="5" borderId="0" xfId="0" applyFont="1" applyFill="1"/>
    <xf numFmtId="3" fontId="20" fillId="5" borderId="0" xfId="0" applyNumberFormat="1" applyFont="1" applyFill="1"/>
    <xf numFmtId="0" fontId="9" fillId="5" borderId="0" xfId="0" applyFont="1" applyFill="1"/>
    <xf numFmtId="0" fontId="44" fillId="5" borderId="0" xfId="0" applyFont="1" applyFill="1"/>
    <xf numFmtId="44" fontId="20" fillId="5" borderId="0" xfId="2" applyFont="1" applyFill="1"/>
    <xf numFmtId="0" fontId="0" fillId="5" borderId="8" xfId="0" applyFill="1" applyBorder="1" applyAlignment="1">
      <alignment horizontal="center"/>
    </xf>
    <xf numFmtId="0" fontId="0" fillId="5" borderId="4" xfId="0" applyFill="1" applyBorder="1" applyAlignment="1">
      <alignment horizontal="center"/>
    </xf>
    <xf numFmtId="0" fontId="6" fillId="5" borderId="4" xfId="0" applyFont="1" applyFill="1" applyBorder="1" applyAlignment="1">
      <alignment horizontal="center"/>
    </xf>
    <xf numFmtId="0" fontId="3" fillId="5" borderId="0" xfId="0" applyFont="1" applyFill="1" applyAlignment="1">
      <alignment horizontal="center"/>
    </xf>
    <xf numFmtId="44" fontId="0" fillId="5" borderId="4" xfId="2" applyFont="1" applyFill="1" applyBorder="1"/>
    <xf numFmtId="44" fontId="0" fillId="5" borderId="4" xfId="0" applyNumberFormat="1" applyFill="1" applyBorder="1"/>
    <xf numFmtId="14" fontId="15" fillId="5" borderId="0" xfId="0" quotePrefix="1" applyNumberFormat="1" applyFont="1" applyFill="1" applyAlignment="1">
      <alignment horizontal="center"/>
    </xf>
    <xf numFmtId="3" fontId="0" fillId="5" borderId="0" xfId="0" applyNumberFormat="1" applyFill="1"/>
    <xf numFmtId="3" fontId="15" fillId="5" borderId="0" xfId="0" applyNumberFormat="1" applyFont="1" applyFill="1"/>
    <xf numFmtId="0" fontId="0" fillId="5" borderId="0" xfId="0" applyFill="1" applyAlignment="1">
      <alignment horizontal="center"/>
    </xf>
    <xf numFmtId="171" fontId="0" fillId="5" borderId="4" xfId="2" applyNumberFormat="1" applyFont="1" applyFill="1" applyBorder="1"/>
    <xf numFmtId="0" fontId="15" fillId="5" borderId="0" xfId="0" applyFont="1" applyFill="1"/>
    <xf numFmtId="0" fontId="6" fillId="5" borderId="0" xfId="0" applyFont="1" applyFill="1"/>
    <xf numFmtId="3" fontId="6" fillId="5" borderId="0" xfId="0" applyNumberFormat="1" applyFont="1" applyFill="1"/>
    <xf numFmtId="0" fontId="27" fillId="5" borderId="0" xfId="0" applyFont="1" applyFill="1"/>
    <xf numFmtId="44" fontId="6" fillId="5" borderId="0" xfId="2" applyFont="1" applyFill="1"/>
    <xf numFmtId="0" fontId="34" fillId="5" borderId="5" xfId="0" applyFont="1" applyFill="1" applyBorder="1"/>
    <xf numFmtId="0" fontId="9" fillId="5" borderId="5" xfId="0" applyFont="1" applyFill="1" applyBorder="1"/>
    <xf numFmtId="0" fontId="35" fillId="5" borderId="5" xfId="0" applyFont="1" applyFill="1" applyBorder="1"/>
    <xf numFmtId="0" fontId="10" fillId="5" borderId="0" xfId="0" applyFont="1" applyFill="1"/>
    <xf numFmtId="170" fontId="3" fillId="5" borderId="0" xfId="3" applyNumberFormat="1" applyFill="1" applyBorder="1"/>
    <xf numFmtId="44" fontId="3" fillId="5" borderId="0" xfId="2" applyFill="1" applyBorder="1"/>
    <xf numFmtId="0" fontId="3" fillId="5" borderId="0" xfId="2" applyNumberFormat="1" applyFont="1" applyFill="1" applyBorder="1"/>
    <xf numFmtId="0" fontId="40" fillId="5" borderId="0" xfId="0" applyFont="1" applyFill="1"/>
    <xf numFmtId="172" fontId="3" fillId="5" borderId="4" xfId="2" applyNumberFormat="1" applyFill="1" applyBorder="1"/>
    <xf numFmtId="171" fontId="3" fillId="5" borderId="0" xfId="2" applyNumberFormat="1" applyFill="1" applyBorder="1"/>
    <xf numFmtId="173" fontId="3" fillId="5" borderId="4" xfId="2" applyNumberFormat="1" applyFill="1" applyBorder="1"/>
    <xf numFmtId="7" fontId="6" fillId="5" borderId="0" xfId="2" applyNumberFormat="1" applyFont="1" applyFill="1" applyBorder="1"/>
    <xf numFmtId="174" fontId="0" fillId="5" borderId="4" xfId="0" applyNumberFormat="1" applyFill="1" applyBorder="1" applyAlignment="1">
      <alignment horizontal="right"/>
    </xf>
    <xf numFmtId="171" fontId="0" fillId="5" borderId="4" xfId="0" applyNumberFormat="1" applyFill="1" applyBorder="1" applyAlignment="1">
      <alignment horizontal="right"/>
    </xf>
    <xf numFmtId="175" fontId="3" fillId="5" borderId="4" xfId="2" applyNumberFormat="1" applyFill="1" applyBorder="1"/>
    <xf numFmtId="44" fontId="0" fillId="5" borderId="4" xfId="0" applyNumberFormat="1" applyFill="1" applyBorder="1" applyAlignment="1">
      <alignment horizontal="right"/>
    </xf>
    <xf numFmtId="176" fontId="3" fillId="5" borderId="4" xfId="2" applyNumberFormat="1" applyFill="1" applyBorder="1"/>
    <xf numFmtId="170" fontId="0" fillId="5" borderId="4" xfId="0" applyNumberFormat="1" applyFill="1" applyBorder="1" applyAlignment="1">
      <alignment horizontal="right"/>
    </xf>
    <xf numFmtId="170" fontId="3" fillId="5" borderId="4" xfId="3" applyNumberFormat="1" applyFill="1" applyBorder="1" applyAlignment="1">
      <alignment horizontal="center"/>
    </xf>
    <xf numFmtId="7" fontId="0" fillId="5" borderId="4" xfId="0" applyNumberFormat="1" applyFill="1" applyBorder="1" applyAlignment="1">
      <alignment horizontal="right"/>
    </xf>
    <xf numFmtId="7" fontId="3" fillId="5" borderId="4" xfId="2" applyNumberFormat="1" applyFill="1" applyBorder="1"/>
    <xf numFmtId="171" fontId="3" fillId="5" borderId="4" xfId="2" applyNumberFormat="1" applyFill="1" applyBorder="1"/>
    <xf numFmtId="171" fontId="0" fillId="5" borderId="4" xfId="2" applyNumberFormat="1" applyFont="1" applyFill="1" applyBorder="1" applyAlignment="1">
      <alignment horizontal="right"/>
    </xf>
    <xf numFmtId="171" fontId="0" fillId="5" borderId="4" xfId="7" applyNumberFormat="1" applyFont="1" applyFill="1" applyBorder="1"/>
    <xf numFmtId="44" fontId="0" fillId="5" borderId="4" xfId="7" applyFont="1" applyFill="1" applyBorder="1"/>
    <xf numFmtId="177" fontId="15" fillId="5" borderId="0" xfId="0" quotePrefix="1" applyNumberFormat="1" applyFont="1" applyFill="1" applyAlignment="1">
      <alignment horizontal="center"/>
    </xf>
    <xf numFmtId="3" fontId="10" fillId="5" borderId="0" xfId="0" applyNumberFormat="1" applyFont="1" applyFill="1"/>
    <xf numFmtId="3" fontId="41" fillId="5" borderId="0" xfId="0" applyNumberFormat="1" applyFont="1" applyFill="1"/>
    <xf numFmtId="0" fontId="10" fillId="5" borderId="0" xfId="0" applyFont="1" applyFill="1" applyAlignment="1">
      <alignment horizontal="center"/>
    </xf>
    <xf numFmtId="0" fontId="41" fillId="5" borderId="0" xfId="0" applyFont="1" applyFill="1"/>
    <xf numFmtId="44" fontId="35" fillId="5" borderId="0" xfId="0" applyNumberFormat="1" applyFont="1" applyFill="1" applyAlignment="1">
      <alignment horizontal="center"/>
    </xf>
    <xf numFmtId="17" fontId="41" fillId="5" borderId="0" xfId="0" quotePrefix="1" applyNumberFormat="1" applyFont="1" applyFill="1" applyAlignment="1">
      <alignment horizontal="center"/>
    </xf>
    <xf numFmtId="17" fontId="15" fillId="5" borderId="0" xfId="0" quotePrefix="1" applyNumberFormat="1" applyFont="1" applyFill="1" applyAlignment="1">
      <alignment horizontal="center"/>
    </xf>
    <xf numFmtId="0" fontId="10" fillId="5" borderId="5" xfId="0" applyFont="1" applyFill="1" applyBorder="1"/>
    <xf numFmtId="44" fontId="10" fillId="5" borderId="5" xfId="0" applyNumberFormat="1" applyFont="1" applyFill="1" applyBorder="1" applyAlignment="1">
      <alignment horizontal="center"/>
    </xf>
    <xf numFmtId="44" fontId="10" fillId="5" borderId="5" xfId="2" applyFont="1" applyFill="1" applyBorder="1"/>
    <xf numFmtId="171" fontId="3" fillId="5" borderId="0" xfId="2" applyNumberFormat="1" applyFont="1" applyFill="1" applyBorder="1"/>
    <xf numFmtId="44" fontId="6" fillId="5" borderId="0" xfId="2" applyFont="1" applyFill="1" applyBorder="1"/>
    <xf numFmtId="44" fontId="10" fillId="5" borderId="0" xfId="2" applyFont="1" applyFill="1" applyBorder="1"/>
    <xf numFmtId="39" fontId="6" fillId="5" borderId="0" xfId="0" applyNumberFormat="1" applyFont="1" applyFill="1"/>
    <xf numFmtId="166" fontId="6" fillId="5" borderId="0" xfId="3" applyNumberFormat="1" applyFont="1" applyFill="1"/>
    <xf numFmtId="0" fontId="42" fillId="5" borderId="0" xfId="0" applyFont="1" applyFill="1" applyAlignment="1">
      <alignment horizontal="left"/>
    </xf>
    <xf numFmtId="39" fontId="42" fillId="5" borderId="0" xfId="0" applyNumberFormat="1" applyFont="1" applyFill="1"/>
    <xf numFmtId="44" fontId="33" fillId="0" borderId="0" xfId="5" applyNumberFormat="1" applyFont="1" applyAlignment="1">
      <alignment horizontal="center"/>
    </xf>
    <xf numFmtId="167" fontId="34" fillId="0" borderId="0" xfId="5" applyNumberFormat="1" applyFont="1" applyAlignment="1">
      <alignment horizontal="left"/>
    </xf>
    <xf numFmtId="0" fontId="3" fillId="4" borderId="0" xfId="5" applyFill="1"/>
    <xf numFmtId="0" fontId="35" fillId="0" borderId="0" xfId="5" applyFont="1"/>
    <xf numFmtId="0" fontId="36" fillId="0" borderId="0" xfId="5" applyFont="1"/>
    <xf numFmtId="14" fontId="3" fillId="0" borderId="0" xfId="5" applyNumberFormat="1"/>
    <xf numFmtId="0" fontId="35" fillId="0" borderId="0" xfId="5" applyFont="1" applyAlignment="1">
      <alignment horizontal="left"/>
    </xf>
    <xf numFmtId="0" fontId="3" fillId="0" borderId="0" xfId="5" applyAlignment="1">
      <alignment horizontal="right"/>
    </xf>
    <xf numFmtId="0" fontId="10" fillId="0" borderId="7" xfId="5" applyFont="1" applyBorder="1"/>
    <xf numFmtId="0" fontId="3" fillId="0" borderId="7" xfId="5" applyBorder="1"/>
    <xf numFmtId="180" fontId="3" fillId="0" borderId="0" xfId="5" applyNumberFormat="1"/>
    <xf numFmtId="0" fontId="34" fillId="0" borderId="0" xfId="5" applyFont="1"/>
    <xf numFmtId="0" fontId="9" fillId="0" borderId="0" xfId="5" applyFont="1"/>
    <xf numFmtId="166" fontId="20" fillId="0" borderId="0" xfId="5" applyNumberFormat="1" applyFont="1"/>
    <xf numFmtId="181" fontId="20" fillId="0" borderId="0" xfId="0" quotePrefix="1" applyNumberFormat="1" applyFont="1"/>
    <xf numFmtId="0" fontId="3" fillId="0" borderId="8" xfId="5" applyBorder="1" applyAlignment="1">
      <alignment horizontal="center"/>
    </xf>
    <xf numFmtId="0" fontId="3" fillId="0" borderId="4" xfId="5" applyBorder="1" applyAlignment="1">
      <alignment horizontal="center"/>
    </xf>
    <xf numFmtId="0" fontId="6" fillId="0" borderId="4" xfId="5" applyFont="1" applyBorder="1" applyAlignment="1">
      <alignment horizontal="center"/>
    </xf>
    <xf numFmtId="0" fontId="3" fillId="0" borderId="0" xfId="5" applyAlignment="1">
      <alignment horizontal="center"/>
    </xf>
    <xf numFmtId="44" fontId="3" fillId="0" borderId="4" xfId="5" applyNumberFormat="1" applyBorder="1"/>
    <xf numFmtId="14" fontId="15" fillId="4" borderId="0" xfId="5" quotePrefix="1" applyNumberFormat="1" applyFont="1" applyFill="1" applyAlignment="1">
      <alignment horizontal="center"/>
    </xf>
    <xf numFmtId="3" fontId="3" fillId="0" borderId="0" xfId="5" applyNumberFormat="1"/>
    <xf numFmtId="3" fontId="15" fillId="4" borderId="0" xfId="5" applyNumberFormat="1" applyFont="1" applyFill="1"/>
    <xf numFmtId="0" fontId="3" fillId="4" borderId="0" xfId="5" applyFill="1" applyAlignment="1">
      <alignment horizontal="center"/>
    </xf>
    <xf numFmtId="0" fontId="15" fillId="4" borderId="0" xfId="5" applyFont="1" applyFill="1"/>
    <xf numFmtId="181" fontId="3" fillId="0" borderId="0" xfId="5" applyNumberFormat="1"/>
    <xf numFmtId="185" fontId="0" fillId="0" borderId="4" xfId="2" applyNumberFormat="1" applyFont="1" applyBorder="1"/>
    <xf numFmtId="186" fontId="0" fillId="0" borderId="4" xfId="2" applyNumberFormat="1" applyFont="1" applyBorder="1"/>
    <xf numFmtId="0" fontId="6" fillId="0" borderId="0" xfId="5" applyFont="1"/>
    <xf numFmtId="3" fontId="6" fillId="0" borderId="0" xfId="5" applyNumberFormat="1" applyFont="1"/>
    <xf numFmtId="0" fontId="27" fillId="0" borderId="0" xfId="5" applyFont="1"/>
    <xf numFmtId="0" fontId="34" fillId="0" borderId="5" xfId="5" applyFont="1" applyBorder="1"/>
    <xf numFmtId="0" fontId="9" fillId="0" borderId="5" xfId="5" applyFont="1" applyBorder="1"/>
    <xf numFmtId="0" fontId="35" fillId="0" borderId="5" xfId="5" applyFont="1" applyBorder="1"/>
    <xf numFmtId="0" fontId="10" fillId="0" borderId="0" xfId="5" applyFont="1"/>
    <xf numFmtId="3" fontId="15" fillId="0" borderId="0" xfId="5" applyNumberFormat="1" applyFont="1"/>
    <xf numFmtId="170" fontId="3" fillId="0" borderId="4" xfId="5" applyNumberFormat="1" applyBorder="1" applyAlignment="1">
      <alignment horizontal="right"/>
    </xf>
    <xf numFmtId="171" fontId="3" fillId="0" borderId="4" xfId="5" applyNumberFormat="1" applyBorder="1" applyAlignment="1">
      <alignment horizontal="right"/>
    </xf>
    <xf numFmtId="181" fontId="0" fillId="0" borderId="0" xfId="0" applyNumberFormat="1"/>
    <xf numFmtId="44" fontId="3" fillId="0" borderId="4" xfId="5" applyNumberFormat="1" applyBorder="1" applyAlignment="1">
      <alignment horizontal="right"/>
    </xf>
    <xf numFmtId="171" fontId="0" fillId="0" borderId="4" xfId="8" applyNumberFormat="1" applyFont="1" applyFill="1" applyBorder="1"/>
    <xf numFmtId="44" fontId="0" fillId="0" borderId="4" xfId="8" applyFont="1" applyFill="1" applyBorder="1"/>
    <xf numFmtId="3" fontId="3" fillId="4" borderId="0" xfId="5" applyNumberFormat="1" applyFill="1"/>
    <xf numFmtId="177" fontId="15" fillId="4" borderId="0" xfId="5" quotePrefix="1" applyNumberFormat="1" applyFont="1" applyFill="1" applyAlignment="1">
      <alignment horizontal="center"/>
    </xf>
    <xf numFmtId="0" fontId="35" fillId="4" borderId="0" xfId="5" applyFont="1" applyFill="1"/>
    <xf numFmtId="0" fontId="10" fillId="4" borderId="0" xfId="5" applyFont="1" applyFill="1"/>
    <xf numFmtId="3" fontId="10" fillId="4" borderId="0" xfId="5" applyNumberFormat="1" applyFont="1" applyFill="1"/>
    <xf numFmtId="3" fontId="41" fillId="4" borderId="0" xfId="5" applyNumberFormat="1" applyFont="1" applyFill="1"/>
    <xf numFmtId="0" fontId="10" fillId="4" borderId="0" xfId="5" applyFont="1" applyFill="1" applyAlignment="1">
      <alignment horizontal="center"/>
    </xf>
    <xf numFmtId="0" fontId="41" fillId="4" borderId="0" xfId="5" applyFont="1" applyFill="1"/>
    <xf numFmtId="44" fontId="35" fillId="4" borderId="0" xfId="5" applyNumberFormat="1" applyFont="1" applyFill="1" applyAlignment="1">
      <alignment horizontal="center"/>
    </xf>
    <xf numFmtId="17" fontId="41" fillId="4" borderId="0" xfId="5" quotePrefix="1" applyNumberFormat="1" applyFont="1" applyFill="1" applyAlignment="1">
      <alignment horizontal="center"/>
    </xf>
    <xf numFmtId="0" fontId="10" fillId="0" borderId="5" xfId="5" applyFont="1" applyBorder="1"/>
    <xf numFmtId="0" fontId="6" fillId="0" borderId="5" xfId="5" applyFont="1" applyBorder="1"/>
    <xf numFmtId="0" fontId="6" fillId="0" borderId="0" xfId="5" applyFont="1" applyAlignment="1">
      <alignment horizontal="left"/>
    </xf>
    <xf numFmtId="39" fontId="6" fillId="4" borderId="0" xfId="5" applyNumberFormat="1" applyFont="1" applyFill="1"/>
    <xf numFmtId="0" fontId="42" fillId="0" borderId="0" xfId="5" applyFont="1" applyAlignment="1">
      <alignment horizontal="left"/>
    </xf>
    <xf numFmtId="0" fontId="37" fillId="0" borderId="0" xfId="5" applyFont="1" applyAlignment="1">
      <alignment horizontal="left"/>
    </xf>
    <xf numFmtId="0" fontId="45" fillId="0" borderId="0" xfId="5" applyFont="1"/>
    <xf numFmtId="39" fontId="42" fillId="4" borderId="0" xfId="5" applyNumberFormat="1" applyFont="1" applyFill="1"/>
    <xf numFmtId="0" fontId="37" fillId="0" borderId="0" xfId="5" applyFont="1"/>
    <xf numFmtId="44" fontId="3" fillId="0" borderId="0" xfId="5" applyNumberFormat="1"/>
    <xf numFmtId="39" fontId="6" fillId="0" borderId="0" xfId="5" applyNumberFormat="1" applyFont="1"/>
    <xf numFmtId="0" fontId="20" fillId="0" borderId="0" xfId="5" applyFont="1"/>
    <xf numFmtId="181" fontId="0" fillId="0" borderId="0" xfId="0" quotePrefix="1" applyNumberFormat="1"/>
    <xf numFmtId="7" fontId="6" fillId="0" borderId="0" xfId="2" applyNumberFormat="1" applyFont="1" applyFill="1" applyBorder="1"/>
    <xf numFmtId="171" fontId="3" fillId="0" borderId="0" xfId="2" applyNumberFormat="1" applyFill="1" applyBorder="1"/>
    <xf numFmtId="183" fontId="3" fillId="0" borderId="0" xfId="2" applyNumberFormat="1" applyFill="1" applyBorder="1"/>
    <xf numFmtId="174" fontId="3" fillId="0" borderId="0" xfId="3" applyNumberFormat="1" applyFont="1" applyFill="1" applyBorder="1" applyAlignment="1">
      <alignment horizontal="right"/>
    </xf>
    <xf numFmtId="171" fontId="3" fillId="0" borderId="0" xfId="2" applyNumberFormat="1" applyFont="1" applyFill="1" applyBorder="1"/>
    <xf numFmtId="174" fontId="3" fillId="0" borderId="0" xfId="3" applyNumberFormat="1" applyFont="1" applyBorder="1" applyAlignment="1">
      <alignment horizontal="center"/>
    </xf>
    <xf numFmtId="171" fontId="0" fillId="0" borderId="0" xfId="2" applyNumberFormat="1" applyFont="1" applyFill="1" applyBorder="1" applyAlignment="1">
      <alignment horizontal="center" vertical="center"/>
    </xf>
    <xf numFmtId="44" fontId="0" fillId="0" borderId="0" xfId="2" applyFont="1" applyFill="1" applyBorder="1"/>
    <xf numFmtId="171" fontId="3" fillId="0" borderId="0" xfId="2" applyNumberFormat="1" applyFont="1" applyBorder="1" applyAlignment="1">
      <alignment horizontal="center"/>
    </xf>
    <xf numFmtId="44" fontId="3" fillId="0" borderId="0" xfId="2" applyFill="1" applyBorder="1"/>
    <xf numFmtId="170" fontId="3" fillId="0" borderId="0" xfId="3" applyNumberFormat="1" applyFont="1" applyFill="1" applyBorder="1"/>
    <xf numFmtId="170" fontId="3" fillId="0" borderId="0" xfId="3" applyNumberFormat="1" applyFill="1" applyBorder="1"/>
    <xf numFmtId="171" fontId="3" fillId="0" borderId="0" xfId="2" applyNumberFormat="1" applyBorder="1"/>
    <xf numFmtId="171" fontId="0" fillId="0" borderId="0" xfId="2" applyNumberFormat="1" applyFont="1" applyBorder="1" applyAlignment="1">
      <alignment horizontal="center"/>
    </xf>
    <xf numFmtId="170" fontId="0" fillId="0" borderId="0" xfId="3" applyNumberFormat="1" applyFont="1" applyBorder="1"/>
    <xf numFmtId="44" fontId="0" fillId="0" borderId="0" xfId="2" applyFont="1" applyBorder="1"/>
    <xf numFmtId="44" fontId="3" fillId="0" borderId="0" xfId="2" applyFont="1" applyBorder="1" applyAlignment="1">
      <alignment horizontal="center"/>
    </xf>
    <xf numFmtId="44" fontId="3" fillId="0" borderId="0" xfId="2" applyFont="1" applyFill="1" applyBorder="1" applyAlignment="1">
      <alignment horizontal="center"/>
    </xf>
    <xf numFmtId="171" fontId="3" fillId="0" borderId="0" xfId="2" applyNumberFormat="1" applyFont="1" applyFill="1" applyBorder="1" applyAlignment="1">
      <alignment horizontal="center"/>
    </xf>
    <xf numFmtId="0" fontId="6" fillId="0" borderId="0" xfId="0" applyFont="1" applyAlignment="1">
      <alignment horizontal="center"/>
    </xf>
    <xf numFmtId="44" fontId="0" fillId="0" borderId="0" xfId="2" applyFont="1" applyFill="1" applyBorder="1" applyAlignment="1">
      <alignment horizontal="center" vertical="center"/>
    </xf>
    <xf numFmtId="44" fontId="0" fillId="0" borderId="0" xfId="0" applyNumberFormat="1" applyAlignment="1">
      <alignment horizontal="center" vertical="center"/>
    </xf>
    <xf numFmtId="187" fontId="3" fillId="5" borderId="4" xfId="2" applyNumberFormat="1" applyFill="1" applyBorder="1"/>
    <xf numFmtId="184" fontId="3" fillId="0" borderId="0" xfId="2" applyNumberFormat="1" applyFont="1" applyFill="1" applyBorder="1"/>
    <xf numFmtId="171" fontId="3" fillId="0" borderId="0" xfId="7" applyNumberFormat="1" applyFont="1" applyFill="1" applyBorder="1"/>
    <xf numFmtId="171" fontId="3" fillId="0" borderId="0" xfId="7" applyNumberFormat="1" applyFill="1" applyBorder="1"/>
    <xf numFmtId="0" fontId="47" fillId="0" borderId="0" xfId="0" applyFont="1" applyAlignment="1">
      <alignment horizontal="center"/>
    </xf>
    <xf numFmtId="183" fontId="3" fillId="0" borderId="0" xfId="7" applyNumberFormat="1" applyFill="1" applyBorder="1"/>
    <xf numFmtId="171" fontId="3" fillId="0" borderId="0" xfId="8" applyNumberFormat="1" applyFont="1" applyFill="1" applyBorder="1"/>
    <xf numFmtId="184" fontId="0" fillId="0" borderId="0" xfId="7" applyNumberFormat="1" applyFont="1" applyFill="1" applyBorder="1"/>
    <xf numFmtId="0" fontId="37" fillId="0" borderId="0" xfId="0" applyFont="1" applyAlignment="1">
      <alignment horizontal="center"/>
    </xf>
    <xf numFmtId="44" fontId="3" fillId="0" borderId="0" xfId="2" applyFont="1" applyFill="1" applyBorder="1" applyAlignment="1">
      <alignment horizontal="center" vertical="center"/>
    </xf>
    <xf numFmtId="171" fontId="3" fillId="0" borderId="0" xfId="2" applyNumberFormat="1" applyFont="1" applyFill="1" applyBorder="1" applyAlignment="1">
      <alignment horizontal="center" vertical="center"/>
    </xf>
    <xf numFmtId="14" fontId="0" fillId="0" borderId="0" xfId="0" applyNumberFormat="1" applyAlignment="1">
      <alignment horizontal="right"/>
    </xf>
    <xf numFmtId="0" fontId="3" fillId="0" borderId="0" xfId="0" applyFont="1" applyAlignment="1">
      <alignment horizontal="right"/>
    </xf>
    <xf numFmtId="14" fontId="0" fillId="0" borderId="0" xfId="0" applyNumberFormat="1" applyAlignment="1">
      <alignment horizontal="center" vertical="center"/>
    </xf>
    <xf numFmtId="171" fontId="0" fillId="0" borderId="0" xfId="0" applyNumberFormat="1" applyAlignment="1">
      <alignment horizontal="center" vertical="center"/>
    </xf>
    <xf numFmtId="171" fontId="0" fillId="0" borderId="0" xfId="2" applyNumberFormat="1" applyFont="1" applyBorder="1"/>
    <xf numFmtId="170" fontId="3" fillId="0" borderId="0" xfId="9" applyNumberFormat="1" applyFill="1" applyBorder="1"/>
    <xf numFmtId="14" fontId="3" fillId="0" borderId="0" xfId="0" applyNumberFormat="1" applyFont="1"/>
    <xf numFmtId="170" fontId="3" fillId="0" borderId="0" xfId="3" applyNumberFormat="1" applyFont="1" applyFill="1" applyBorder="1" applyAlignment="1">
      <alignment horizontal="center"/>
    </xf>
    <xf numFmtId="44" fontId="12" fillId="0" borderId="1" xfId="2" applyFont="1" applyFill="1" applyBorder="1" applyProtection="1">
      <protection locked="0"/>
    </xf>
    <xf numFmtId="44" fontId="12" fillId="0" borderId="2" xfId="2" applyFont="1" applyFill="1" applyBorder="1" applyProtection="1">
      <protection locked="0"/>
    </xf>
    <xf numFmtId="44" fontId="12" fillId="0" borderId="3" xfId="2" applyFont="1" applyFill="1" applyBorder="1" applyProtection="1">
      <protection locked="0"/>
    </xf>
    <xf numFmtId="0" fontId="20" fillId="2" borderId="0" xfId="0" applyFont="1" applyFill="1"/>
    <xf numFmtId="0" fontId="4" fillId="2" borderId="0" xfId="0" applyFont="1" applyFill="1" applyAlignment="1">
      <alignment horizontal="center"/>
    </xf>
    <xf numFmtId="0" fontId="5" fillId="2" borderId="0" xfId="0" applyFont="1" applyFill="1" applyAlignment="1">
      <alignment horizontal="center"/>
    </xf>
    <xf numFmtId="0" fontId="6" fillId="2" borderId="0" xfId="0" applyFont="1" applyFill="1" applyAlignment="1">
      <alignment horizontal="center"/>
    </xf>
    <xf numFmtId="0" fontId="0" fillId="2" borderId="0" xfId="0" applyFill="1" applyAlignment="1">
      <alignment horizontal="center"/>
    </xf>
    <xf numFmtId="0" fontId="7" fillId="2" borderId="0" xfId="0" applyFont="1" applyFill="1" applyAlignment="1">
      <alignment horizontal="center"/>
    </xf>
    <xf numFmtId="0" fontId="8" fillId="2" borderId="0" xfId="0" applyFont="1" applyFill="1" applyAlignment="1">
      <alignment vertical="center" wrapText="1"/>
    </xf>
    <xf numFmtId="0" fontId="9" fillId="0" borderId="1" xfId="0" applyFont="1" applyBorder="1" applyAlignment="1" applyProtection="1">
      <alignment horizontal="left"/>
      <protection locked="0"/>
    </xf>
    <xf numFmtId="0" fontId="9" fillId="0" borderId="2" xfId="0" applyFont="1" applyBorder="1" applyAlignment="1" applyProtection="1">
      <alignment horizontal="left"/>
      <protection locked="0"/>
    </xf>
    <xf numFmtId="0" fontId="9" fillId="0" borderId="3" xfId="0" applyFont="1" applyBorder="1" applyAlignment="1" applyProtection="1">
      <alignment horizontal="left"/>
      <protection locked="0"/>
    </xf>
    <xf numFmtId="0" fontId="9" fillId="0" borderId="4" xfId="0" applyFont="1" applyBorder="1" applyAlignment="1" applyProtection="1">
      <alignment horizontal="left"/>
      <protection locked="0"/>
    </xf>
    <xf numFmtId="0" fontId="20" fillId="0" borderId="0" xfId="0" applyFont="1" applyAlignment="1">
      <alignment vertical="center" wrapText="1"/>
    </xf>
    <xf numFmtId="0" fontId="30" fillId="4" borderId="0" xfId="0" applyFont="1" applyFill="1" applyAlignment="1">
      <alignment horizontal="center"/>
    </xf>
    <xf numFmtId="0" fontId="31" fillId="0" borderId="0" xfId="0" applyFont="1" applyAlignment="1">
      <alignment horizontal="center" vertical="center"/>
    </xf>
    <xf numFmtId="44" fontId="32" fillId="0" borderId="0" xfId="0" applyNumberFormat="1" applyFont="1" applyAlignment="1">
      <alignment horizontal="center"/>
    </xf>
    <xf numFmtId="167" fontId="34" fillId="0" borderId="0" xfId="0" applyNumberFormat="1" applyFont="1" applyAlignment="1">
      <alignment horizontal="left"/>
    </xf>
    <xf numFmtId="0" fontId="9" fillId="0" borderId="0" xfId="0" applyFont="1" applyAlignment="1">
      <alignment horizontal="center"/>
    </xf>
    <xf numFmtId="0" fontId="0" fillId="4" borderId="1" xfId="0" applyFill="1" applyBorder="1" applyAlignment="1">
      <alignment horizontal="center"/>
    </xf>
    <xf numFmtId="0" fontId="0" fillId="4" borderId="2" xfId="0" applyFill="1" applyBorder="1" applyAlignment="1">
      <alignment horizontal="center"/>
    </xf>
    <xf numFmtId="0" fontId="0" fillId="4" borderId="3" xfId="0" applyFill="1" applyBorder="1" applyAlignment="1">
      <alignment horizontal="center"/>
    </xf>
    <xf numFmtId="0" fontId="6" fillId="4" borderId="1" xfId="0" applyFont="1" applyFill="1" applyBorder="1" applyAlignment="1">
      <alignment horizontal="center"/>
    </xf>
    <xf numFmtId="0" fontId="0" fillId="0" borderId="2" xfId="0" applyBorder="1"/>
    <xf numFmtId="0" fontId="0" fillId="0" borderId="3" xfId="0" applyBorder="1"/>
    <xf numFmtId="0" fontId="10" fillId="0" borderId="5" xfId="0" applyFont="1" applyBorder="1"/>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6" fillId="0" borderId="4" xfId="0" applyFont="1" applyBorder="1" applyAlignment="1">
      <alignment horizontal="center"/>
    </xf>
    <xf numFmtId="0" fontId="30" fillId="0" borderId="0" xfId="0" applyFont="1" applyAlignment="1">
      <alignment horizontal="center"/>
    </xf>
    <xf numFmtId="0" fontId="31" fillId="0" borderId="0" xfId="0" applyFont="1" applyAlignment="1">
      <alignment horizontal="center"/>
    </xf>
    <xf numFmtId="0" fontId="43" fillId="0" borderId="0" xfId="0" applyFont="1" applyAlignment="1">
      <alignment horizontal="center"/>
    </xf>
    <xf numFmtId="167" fontId="34" fillId="0" borderId="0" xfId="0" applyNumberFormat="1" applyFont="1" applyAlignment="1">
      <alignment horizontal="center"/>
    </xf>
    <xf numFmtId="0" fontId="34" fillId="4" borderId="0" xfId="0" applyFont="1" applyFill="1"/>
    <xf numFmtId="0" fontId="0" fillId="5" borderId="1" xfId="0" applyFill="1" applyBorder="1" applyAlignment="1">
      <alignment horizontal="center"/>
    </xf>
    <xf numFmtId="0" fontId="0" fillId="5" borderId="2" xfId="0" applyFill="1" applyBorder="1" applyAlignment="1">
      <alignment horizontal="center"/>
    </xf>
    <xf numFmtId="0" fontId="0" fillId="5" borderId="3" xfId="0" applyFill="1" applyBorder="1" applyAlignment="1">
      <alignment horizontal="center"/>
    </xf>
    <xf numFmtId="0" fontId="6" fillId="5" borderId="4" xfId="0" applyFont="1" applyFill="1" applyBorder="1" applyAlignment="1">
      <alignment horizontal="center"/>
    </xf>
    <xf numFmtId="0" fontId="30" fillId="5" borderId="0" xfId="0" applyFont="1" applyFill="1" applyAlignment="1">
      <alignment horizontal="center"/>
    </xf>
    <xf numFmtId="0" fontId="31" fillId="5" borderId="0" xfId="0" applyFont="1" applyFill="1" applyAlignment="1">
      <alignment horizontal="center"/>
    </xf>
    <xf numFmtId="44" fontId="32" fillId="5" borderId="0" xfId="0" applyNumberFormat="1" applyFont="1" applyFill="1" applyAlignment="1">
      <alignment horizontal="center"/>
    </xf>
    <xf numFmtId="0" fontId="43" fillId="5" borderId="0" xfId="0" applyFont="1" applyFill="1" applyAlignment="1">
      <alignment horizontal="center"/>
    </xf>
    <xf numFmtId="0" fontId="10" fillId="5" borderId="5" xfId="0" applyFont="1" applyFill="1" applyBorder="1"/>
    <xf numFmtId="0" fontId="30" fillId="4" borderId="0" xfId="5" applyFont="1" applyFill="1" applyAlignment="1">
      <alignment horizontal="center"/>
    </xf>
    <xf numFmtId="0" fontId="30" fillId="0" borderId="0" xfId="5" applyFont="1" applyAlignment="1">
      <alignment horizontal="center"/>
    </xf>
    <xf numFmtId="0" fontId="31" fillId="0" borderId="0" xfId="5" applyFont="1" applyAlignment="1">
      <alignment horizontal="center"/>
    </xf>
    <xf numFmtId="0" fontId="20" fillId="0" borderId="0" xfId="5" applyFont="1" applyAlignment="1">
      <alignment vertical="center" wrapText="1"/>
    </xf>
    <xf numFmtId="44" fontId="32" fillId="0" borderId="0" xfId="5" applyNumberFormat="1" applyFont="1" applyAlignment="1">
      <alignment horizontal="center"/>
    </xf>
    <xf numFmtId="0" fontId="43" fillId="0" borderId="0" xfId="5" applyFont="1" applyAlignment="1">
      <alignment horizontal="center"/>
    </xf>
    <xf numFmtId="0" fontId="10" fillId="0" borderId="5" xfId="5" applyFont="1" applyBorder="1"/>
    <xf numFmtId="0" fontId="34" fillId="4" borderId="0" xfId="5" applyFont="1" applyFill="1"/>
    <xf numFmtId="0" fontId="3" fillId="0" borderId="1" xfId="5" applyBorder="1" applyAlignment="1">
      <alignment horizontal="center"/>
    </xf>
    <xf numFmtId="0" fontId="3" fillId="0" borderId="2" xfId="5" applyBorder="1" applyAlignment="1">
      <alignment horizontal="center"/>
    </xf>
    <xf numFmtId="0" fontId="3" fillId="0" borderId="3" xfId="5" applyBorder="1" applyAlignment="1">
      <alignment horizontal="center"/>
    </xf>
    <xf numFmtId="0" fontId="6" fillId="0" borderId="4" xfId="5" applyFont="1" applyBorder="1" applyAlignment="1">
      <alignment horizontal="center"/>
    </xf>
    <xf numFmtId="0" fontId="3" fillId="0" borderId="0" xfId="0" applyFont="1" applyAlignment="1">
      <alignment horizontal="center"/>
    </xf>
    <xf numFmtId="0" fontId="0" fillId="0" borderId="0" xfId="0" applyAlignment="1">
      <alignment horizontal="center"/>
    </xf>
    <xf numFmtId="0" fontId="6" fillId="0" borderId="0" xfId="0" applyFont="1" applyBorder="1" applyAlignment="1">
      <alignment horizontal="center"/>
    </xf>
    <xf numFmtId="0" fontId="0" fillId="0" borderId="0" xfId="0" applyBorder="1"/>
    <xf numFmtId="171" fontId="3" fillId="0" borderId="0" xfId="2" applyNumberFormat="1" applyFont="1" applyFill="1" applyBorder="1" applyAlignment="1"/>
    <xf numFmtId="170" fontId="3" fillId="0" borderId="0" xfId="0" applyNumberFormat="1" applyFont="1" applyBorder="1" applyAlignment="1">
      <alignment horizontal="center"/>
    </xf>
    <xf numFmtId="0" fontId="47" fillId="0" borderId="0" xfId="0" applyFont="1" applyBorder="1" applyAlignment="1">
      <alignment horizontal="center"/>
    </xf>
    <xf numFmtId="0" fontId="0" fillId="0" borderId="0" xfId="0" applyBorder="1" applyAlignment="1">
      <alignment horizontal="center" vertical="center"/>
    </xf>
    <xf numFmtId="168" fontId="0" fillId="0" borderId="0" xfId="0" applyNumberFormat="1" applyBorder="1"/>
    <xf numFmtId="7" fontId="3" fillId="0" borderId="0" xfId="0" applyNumberFormat="1" applyFont="1" applyBorder="1" applyAlignment="1">
      <alignment horizontal="center"/>
    </xf>
  </cellXfs>
  <cellStyles count="10">
    <cellStyle name="Comma" xfId="1" builtinId="3"/>
    <cellStyle name="Currency" xfId="2" builtinId="4"/>
    <cellStyle name="Currency 2" xfId="6" xr:uid="{C3D93707-70C6-4EC6-8A56-DBBDDB1A906D}"/>
    <cellStyle name="Currency 2 2" xfId="7" xr:uid="{1F823466-CB64-43A1-AF0D-C458F67ADB3F}"/>
    <cellStyle name="Currency 2 2 2" xfId="8" xr:uid="{92C96C63-0423-46CD-84FB-9F37BDC22D3D}"/>
    <cellStyle name="Hyperlink" xfId="4" builtinId="8"/>
    <cellStyle name="Normal" xfId="0" builtinId="0"/>
    <cellStyle name="Normal 3" xfId="5" xr:uid="{B354AF27-215B-4CF7-8067-02777BC56410}"/>
    <cellStyle name="Percent" xfId="3" builtinId="5"/>
    <cellStyle name="Percent 2" xfId="9" xr:uid="{1706DD14-63F5-4A3B-8A06-0CBDAC6A1C3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tyles" Target="styles.xml"/></Relationships>
</file>

<file path=xl/ctrlProps/ctrlProp1.xml><?xml version="1.0" encoding="utf-8"?>
<formControlPr xmlns="http://schemas.microsoft.com/office/spreadsheetml/2009/9/main" objectType="CheckBox" fmlaLink="C33"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7"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C$34" lockText="1" noThreeD="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5" lockText="1" noThreeD="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31</xdr:row>
          <xdr:rowOff>104775</xdr:rowOff>
        </xdr:from>
        <xdr:to>
          <xdr:col>1</xdr:col>
          <xdr:colOff>457200</xdr:colOff>
          <xdr:row>33</xdr:row>
          <xdr:rowOff>28575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104775</xdr:rowOff>
        </xdr:from>
        <xdr:to>
          <xdr:col>5</xdr:col>
          <xdr:colOff>676275</xdr:colOff>
          <xdr:row>15</xdr:row>
          <xdr:rowOff>28575</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28575</xdr:rowOff>
        </xdr:from>
        <xdr:to>
          <xdr:col>5</xdr:col>
          <xdr:colOff>676275</xdr:colOff>
          <xdr:row>16</xdr:row>
          <xdr:rowOff>66675</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66675</xdr:rowOff>
        </xdr:from>
        <xdr:to>
          <xdr:col>5</xdr:col>
          <xdr:colOff>676275</xdr:colOff>
          <xdr:row>17</xdr:row>
          <xdr:rowOff>104775</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66675</xdr:rowOff>
        </xdr:from>
        <xdr:to>
          <xdr:col>5</xdr:col>
          <xdr:colOff>676275</xdr:colOff>
          <xdr:row>18</xdr:row>
          <xdr:rowOff>9525</xdr:rowOff>
        </xdr:to>
        <xdr:sp macro="" textlink="">
          <xdr:nvSpPr>
            <xdr:cNvPr id="1029" name="Group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66675</xdr:rowOff>
        </xdr:from>
        <xdr:to>
          <xdr:col>2</xdr:col>
          <xdr:colOff>104775</xdr:colOff>
          <xdr:row>34</xdr:row>
          <xdr:rowOff>47625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xdr:row>
          <xdr:rowOff>85725</xdr:rowOff>
        </xdr:from>
        <xdr:to>
          <xdr:col>1</xdr:col>
          <xdr:colOff>600075</xdr:colOff>
          <xdr:row>35</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0242" name="Button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3" name="Button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4" name="Button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5" name="Button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6" name="Button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7" name="Button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8" name="Button 4" hidden="1">
              <a:extLst>
                <a:ext uri="{63B3BB69-23CF-44E3-9099-C40C66FF867C}">
                  <a14:compatExt spid="_x0000_s11268"/>
                </a:ext>
                <a:ext uri="{FF2B5EF4-FFF2-40B4-BE49-F238E27FC236}">
                  <a16:creationId xmlns:a16="http://schemas.microsoft.com/office/drawing/2014/main" id="{00000000-0008-0000-0B00-000004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76</xdr:row>
          <xdr:rowOff>9525</xdr:rowOff>
        </xdr:from>
        <xdr:to>
          <xdr:col>14</xdr:col>
          <xdr:colOff>723900</xdr:colOff>
          <xdr:row>77</xdr:row>
          <xdr:rowOff>66675</xdr:rowOff>
        </xdr:to>
        <xdr:sp macro="" textlink="">
          <xdr:nvSpPr>
            <xdr:cNvPr id="11269" name="Button 5" hidden="1">
              <a:extLst>
                <a:ext uri="{63B3BB69-23CF-44E3-9099-C40C66FF867C}">
                  <a14:compatExt spid="_x0000_s11269"/>
                </a:ext>
                <a:ext uri="{FF2B5EF4-FFF2-40B4-BE49-F238E27FC236}">
                  <a16:creationId xmlns:a16="http://schemas.microsoft.com/office/drawing/2014/main" id="{00000000-0008-0000-0B00-000005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2" name="Button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3" name="Button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4" name="Button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D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D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D00-00000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D00-00000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D00-00000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8" name="Button 6" hidden="1">
              <a:extLst>
                <a:ext uri="{63B3BB69-23CF-44E3-9099-C40C66FF867C}">
                  <a14:compatExt spid="_x0000_s13318"/>
                </a:ext>
                <a:ext uri="{FF2B5EF4-FFF2-40B4-BE49-F238E27FC236}">
                  <a16:creationId xmlns:a16="http://schemas.microsoft.com/office/drawing/2014/main" id="{00000000-0008-0000-0D00-00000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19" name="Button 7" hidden="1">
              <a:extLst>
                <a:ext uri="{63B3BB69-23CF-44E3-9099-C40C66FF867C}">
                  <a14:compatExt spid="_x0000_s13319"/>
                </a:ext>
                <a:ext uri="{FF2B5EF4-FFF2-40B4-BE49-F238E27FC236}">
                  <a16:creationId xmlns:a16="http://schemas.microsoft.com/office/drawing/2014/main" id="{00000000-0008-0000-0D00-00000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0" name="Button 8" hidden="1">
              <a:extLst>
                <a:ext uri="{63B3BB69-23CF-44E3-9099-C40C66FF867C}">
                  <a14:compatExt spid="_x0000_s13320"/>
                </a:ext>
                <a:ext uri="{FF2B5EF4-FFF2-40B4-BE49-F238E27FC236}">
                  <a16:creationId xmlns:a16="http://schemas.microsoft.com/office/drawing/2014/main" id="{00000000-0008-0000-0D00-00000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1" name="Button 9" hidden="1">
              <a:extLst>
                <a:ext uri="{63B3BB69-23CF-44E3-9099-C40C66FF867C}">
                  <a14:compatExt spid="_x0000_s13321"/>
                </a:ext>
                <a:ext uri="{FF2B5EF4-FFF2-40B4-BE49-F238E27FC236}">
                  <a16:creationId xmlns:a16="http://schemas.microsoft.com/office/drawing/2014/main" id="{00000000-0008-0000-0D00-00000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2" name="Button 10" hidden="1">
              <a:extLst>
                <a:ext uri="{63B3BB69-23CF-44E3-9099-C40C66FF867C}">
                  <a14:compatExt spid="_x0000_s13322"/>
                </a:ext>
                <a:ext uri="{FF2B5EF4-FFF2-40B4-BE49-F238E27FC236}">
                  <a16:creationId xmlns:a16="http://schemas.microsoft.com/office/drawing/2014/main" id="{00000000-0008-0000-0D00-00000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3" name="Button 11" hidden="1">
              <a:extLst>
                <a:ext uri="{63B3BB69-23CF-44E3-9099-C40C66FF867C}">
                  <a14:compatExt spid="_x0000_s13323"/>
                </a:ext>
                <a:ext uri="{FF2B5EF4-FFF2-40B4-BE49-F238E27FC236}">
                  <a16:creationId xmlns:a16="http://schemas.microsoft.com/office/drawing/2014/main" id="{00000000-0008-0000-0D00-00000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4" name="Button 12" hidden="1">
              <a:extLst>
                <a:ext uri="{63B3BB69-23CF-44E3-9099-C40C66FF867C}">
                  <a14:compatExt spid="_x0000_s13324"/>
                </a:ext>
                <a:ext uri="{FF2B5EF4-FFF2-40B4-BE49-F238E27FC236}">
                  <a16:creationId xmlns:a16="http://schemas.microsoft.com/office/drawing/2014/main" id="{00000000-0008-0000-0D00-00000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5" name="Button 13" hidden="1">
              <a:extLst>
                <a:ext uri="{63B3BB69-23CF-44E3-9099-C40C66FF867C}">
                  <a14:compatExt spid="_x0000_s13325"/>
                </a:ext>
                <a:ext uri="{FF2B5EF4-FFF2-40B4-BE49-F238E27FC236}">
                  <a16:creationId xmlns:a16="http://schemas.microsoft.com/office/drawing/2014/main" id="{00000000-0008-0000-0D00-00000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6" name="Button 14" hidden="1">
              <a:extLst>
                <a:ext uri="{63B3BB69-23CF-44E3-9099-C40C66FF867C}">
                  <a14:compatExt spid="_x0000_s13326"/>
                </a:ext>
                <a:ext uri="{FF2B5EF4-FFF2-40B4-BE49-F238E27FC236}">
                  <a16:creationId xmlns:a16="http://schemas.microsoft.com/office/drawing/2014/main" id="{00000000-0008-0000-0D00-00000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7" name="Button 15" hidden="1">
              <a:extLst>
                <a:ext uri="{63B3BB69-23CF-44E3-9099-C40C66FF867C}">
                  <a14:compatExt spid="_x0000_s13327"/>
                </a:ext>
                <a:ext uri="{FF2B5EF4-FFF2-40B4-BE49-F238E27FC236}">
                  <a16:creationId xmlns:a16="http://schemas.microsoft.com/office/drawing/2014/main" id="{00000000-0008-0000-0D00-00000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8" name="Button 16" hidden="1">
              <a:extLst>
                <a:ext uri="{63B3BB69-23CF-44E3-9099-C40C66FF867C}">
                  <a14:compatExt spid="_x0000_s13328"/>
                </a:ext>
                <a:ext uri="{FF2B5EF4-FFF2-40B4-BE49-F238E27FC236}">
                  <a16:creationId xmlns:a16="http://schemas.microsoft.com/office/drawing/2014/main" id="{00000000-0008-0000-0D00-00001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9" name="Button 17" hidden="1">
              <a:extLst>
                <a:ext uri="{63B3BB69-23CF-44E3-9099-C40C66FF867C}">
                  <a14:compatExt spid="_x0000_s13329"/>
                </a:ext>
                <a:ext uri="{FF2B5EF4-FFF2-40B4-BE49-F238E27FC236}">
                  <a16:creationId xmlns:a16="http://schemas.microsoft.com/office/drawing/2014/main" id="{00000000-0008-0000-0D00-00001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30" name="Button 18" hidden="1">
              <a:extLst>
                <a:ext uri="{63B3BB69-23CF-44E3-9099-C40C66FF867C}">
                  <a14:compatExt spid="_x0000_s13330"/>
                </a:ext>
                <a:ext uri="{FF2B5EF4-FFF2-40B4-BE49-F238E27FC236}">
                  <a16:creationId xmlns:a16="http://schemas.microsoft.com/office/drawing/2014/main" id="{00000000-0008-0000-0D00-00001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1" name="Button 19" hidden="1">
              <a:extLst>
                <a:ext uri="{63B3BB69-23CF-44E3-9099-C40C66FF867C}">
                  <a14:compatExt spid="_x0000_s13331"/>
                </a:ext>
                <a:ext uri="{FF2B5EF4-FFF2-40B4-BE49-F238E27FC236}">
                  <a16:creationId xmlns:a16="http://schemas.microsoft.com/office/drawing/2014/main" id="{00000000-0008-0000-0D00-00001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2" name="Button 20" hidden="1">
              <a:extLst>
                <a:ext uri="{63B3BB69-23CF-44E3-9099-C40C66FF867C}">
                  <a14:compatExt spid="_x0000_s13332"/>
                </a:ext>
                <a:ext uri="{FF2B5EF4-FFF2-40B4-BE49-F238E27FC236}">
                  <a16:creationId xmlns:a16="http://schemas.microsoft.com/office/drawing/2014/main" id="{00000000-0008-0000-0D00-00001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3" name="Button 21" hidden="1">
              <a:extLst>
                <a:ext uri="{63B3BB69-23CF-44E3-9099-C40C66FF867C}">
                  <a14:compatExt spid="_x0000_s13333"/>
                </a:ext>
                <a:ext uri="{FF2B5EF4-FFF2-40B4-BE49-F238E27FC236}">
                  <a16:creationId xmlns:a16="http://schemas.microsoft.com/office/drawing/2014/main" id="{00000000-0008-0000-0D00-00001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4" name="Button 22" hidden="1">
              <a:extLst>
                <a:ext uri="{63B3BB69-23CF-44E3-9099-C40C66FF867C}">
                  <a14:compatExt spid="_x0000_s13334"/>
                </a:ext>
                <a:ext uri="{FF2B5EF4-FFF2-40B4-BE49-F238E27FC236}">
                  <a16:creationId xmlns:a16="http://schemas.microsoft.com/office/drawing/2014/main" id="{00000000-0008-0000-0D00-00001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5" name="Button 23" hidden="1">
              <a:extLst>
                <a:ext uri="{63B3BB69-23CF-44E3-9099-C40C66FF867C}">
                  <a14:compatExt spid="_x0000_s13335"/>
                </a:ext>
                <a:ext uri="{FF2B5EF4-FFF2-40B4-BE49-F238E27FC236}">
                  <a16:creationId xmlns:a16="http://schemas.microsoft.com/office/drawing/2014/main" id="{00000000-0008-0000-0D00-00001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6" name="Button 24" hidden="1">
              <a:extLst>
                <a:ext uri="{63B3BB69-23CF-44E3-9099-C40C66FF867C}">
                  <a14:compatExt spid="_x0000_s13336"/>
                </a:ext>
                <a:ext uri="{FF2B5EF4-FFF2-40B4-BE49-F238E27FC236}">
                  <a16:creationId xmlns:a16="http://schemas.microsoft.com/office/drawing/2014/main" id="{00000000-0008-0000-0D00-00001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7" name="Button 25" hidden="1">
              <a:extLst>
                <a:ext uri="{63B3BB69-23CF-44E3-9099-C40C66FF867C}">
                  <a14:compatExt spid="_x0000_s13337"/>
                </a:ext>
                <a:ext uri="{FF2B5EF4-FFF2-40B4-BE49-F238E27FC236}">
                  <a16:creationId xmlns:a16="http://schemas.microsoft.com/office/drawing/2014/main" id="{00000000-0008-0000-0D00-00001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8" name="Button 26" hidden="1">
              <a:extLst>
                <a:ext uri="{63B3BB69-23CF-44E3-9099-C40C66FF867C}">
                  <a14:compatExt spid="_x0000_s13338"/>
                </a:ext>
                <a:ext uri="{FF2B5EF4-FFF2-40B4-BE49-F238E27FC236}">
                  <a16:creationId xmlns:a16="http://schemas.microsoft.com/office/drawing/2014/main" id="{00000000-0008-0000-0D00-00001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39" name="Button 27" hidden="1">
              <a:extLst>
                <a:ext uri="{63B3BB69-23CF-44E3-9099-C40C66FF867C}">
                  <a14:compatExt spid="_x0000_s13339"/>
                </a:ext>
                <a:ext uri="{FF2B5EF4-FFF2-40B4-BE49-F238E27FC236}">
                  <a16:creationId xmlns:a16="http://schemas.microsoft.com/office/drawing/2014/main" id="{00000000-0008-0000-0D00-00001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0" name="Button 28" hidden="1">
              <a:extLst>
                <a:ext uri="{63B3BB69-23CF-44E3-9099-C40C66FF867C}">
                  <a14:compatExt spid="_x0000_s13340"/>
                </a:ext>
                <a:ext uri="{FF2B5EF4-FFF2-40B4-BE49-F238E27FC236}">
                  <a16:creationId xmlns:a16="http://schemas.microsoft.com/office/drawing/2014/main" id="{00000000-0008-0000-0D00-00001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1" name="Button 29" hidden="1">
              <a:extLst>
                <a:ext uri="{63B3BB69-23CF-44E3-9099-C40C66FF867C}">
                  <a14:compatExt spid="_x0000_s13341"/>
                </a:ext>
                <a:ext uri="{FF2B5EF4-FFF2-40B4-BE49-F238E27FC236}">
                  <a16:creationId xmlns:a16="http://schemas.microsoft.com/office/drawing/2014/main" id="{00000000-0008-0000-0D00-00001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2" name="Button 30" hidden="1">
              <a:extLst>
                <a:ext uri="{63B3BB69-23CF-44E3-9099-C40C66FF867C}">
                  <a14:compatExt spid="_x0000_s13342"/>
                </a:ext>
                <a:ext uri="{FF2B5EF4-FFF2-40B4-BE49-F238E27FC236}">
                  <a16:creationId xmlns:a16="http://schemas.microsoft.com/office/drawing/2014/main" id="{00000000-0008-0000-0D00-00001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3" name="Button 31" hidden="1">
              <a:extLst>
                <a:ext uri="{63B3BB69-23CF-44E3-9099-C40C66FF867C}">
                  <a14:compatExt spid="_x0000_s13343"/>
                </a:ext>
                <a:ext uri="{FF2B5EF4-FFF2-40B4-BE49-F238E27FC236}">
                  <a16:creationId xmlns:a16="http://schemas.microsoft.com/office/drawing/2014/main" id="{00000000-0008-0000-0D00-00001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4" name="Button 32" hidden="1">
              <a:extLst>
                <a:ext uri="{63B3BB69-23CF-44E3-9099-C40C66FF867C}">
                  <a14:compatExt spid="_x0000_s13344"/>
                </a:ext>
                <a:ext uri="{FF2B5EF4-FFF2-40B4-BE49-F238E27FC236}">
                  <a16:creationId xmlns:a16="http://schemas.microsoft.com/office/drawing/2014/main" id="{00000000-0008-0000-0D00-00002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5" name="Button 33" hidden="1">
              <a:extLst>
                <a:ext uri="{63B3BB69-23CF-44E3-9099-C40C66FF867C}">
                  <a14:compatExt spid="_x0000_s13345"/>
                </a:ext>
                <a:ext uri="{FF2B5EF4-FFF2-40B4-BE49-F238E27FC236}">
                  <a16:creationId xmlns:a16="http://schemas.microsoft.com/office/drawing/2014/main" id="{00000000-0008-0000-0D00-00002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6" name="Button 34" hidden="1">
              <a:extLst>
                <a:ext uri="{63B3BB69-23CF-44E3-9099-C40C66FF867C}">
                  <a14:compatExt spid="_x0000_s13346"/>
                </a:ext>
                <a:ext uri="{FF2B5EF4-FFF2-40B4-BE49-F238E27FC236}">
                  <a16:creationId xmlns:a16="http://schemas.microsoft.com/office/drawing/2014/main" id="{00000000-0008-0000-0D00-00002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7" name="Button 35" hidden="1">
              <a:extLst>
                <a:ext uri="{63B3BB69-23CF-44E3-9099-C40C66FF867C}">
                  <a14:compatExt spid="_x0000_s13347"/>
                </a:ext>
                <a:ext uri="{FF2B5EF4-FFF2-40B4-BE49-F238E27FC236}">
                  <a16:creationId xmlns:a16="http://schemas.microsoft.com/office/drawing/2014/main" id="{00000000-0008-0000-0D00-00002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8" name="Button 36" hidden="1">
              <a:extLst>
                <a:ext uri="{63B3BB69-23CF-44E3-9099-C40C66FF867C}">
                  <a14:compatExt spid="_x0000_s13348"/>
                </a:ext>
                <a:ext uri="{FF2B5EF4-FFF2-40B4-BE49-F238E27FC236}">
                  <a16:creationId xmlns:a16="http://schemas.microsoft.com/office/drawing/2014/main" id="{00000000-0008-0000-0D00-00002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9" name="Button 37" hidden="1">
              <a:extLst>
                <a:ext uri="{63B3BB69-23CF-44E3-9099-C40C66FF867C}">
                  <a14:compatExt spid="_x0000_s13349"/>
                </a:ext>
                <a:ext uri="{FF2B5EF4-FFF2-40B4-BE49-F238E27FC236}">
                  <a16:creationId xmlns:a16="http://schemas.microsoft.com/office/drawing/2014/main" id="{00000000-0008-0000-0D00-00002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50" name="Button 38" hidden="1">
              <a:extLst>
                <a:ext uri="{63B3BB69-23CF-44E3-9099-C40C66FF867C}">
                  <a14:compatExt spid="_x0000_s13350"/>
                </a:ext>
                <a:ext uri="{FF2B5EF4-FFF2-40B4-BE49-F238E27FC236}">
                  <a16:creationId xmlns:a16="http://schemas.microsoft.com/office/drawing/2014/main" id="{00000000-0008-0000-0D00-00002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1" name="Button 39" hidden="1">
              <a:extLst>
                <a:ext uri="{63B3BB69-23CF-44E3-9099-C40C66FF867C}">
                  <a14:compatExt spid="_x0000_s13351"/>
                </a:ext>
                <a:ext uri="{FF2B5EF4-FFF2-40B4-BE49-F238E27FC236}">
                  <a16:creationId xmlns:a16="http://schemas.microsoft.com/office/drawing/2014/main" id="{00000000-0008-0000-0D00-00002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2" name="Button 40" hidden="1">
              <a:extLst>
                <a:ext uri="{63B3BB69-23CF-44E3-9099-C40C66FF867C}">
                  <a14:compatExt spid="_x0000_s13352"/>
                </a:ext>
                <a:ext uri="{FF2B5EF4-FFF2-40B4-BE49-F238E27FC236}">
                  <a16:creationId xmlns:a16="http://schemas.microsoft.com/office/drawing/2014/main" id="{00000000-0008-0000-0D00-00002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3" name="Button 41" hidden="1">
              <a:extLst>
                <a:ext uri="{63B3BB69-23CF-44E3-9099-C40C66FF867C}">
                  <a14:compatExt spid="_x0000_s13353"/>
                </a:ext>
                <a:ext uri="{FF2B5EF4-FFF2-40B4-BE49-F238E27FC236}">
                  <a16:creationId xmlns:a16="http://schemas.microsoft.com/office/drawing/2014/main" id="{00000000-0008-0000-0D00-00002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4" name="Button 42" hidden="1">
              <a:extLst>
                <a:ext uri="{63B3BB69-23CF-44E3-9099-C40C66FF867C}">
                  <a14:compatExt spid="_x0000_s13354"/>
                </a:ext>
                <a:ext uri="{FF2B5EF4-FFF2-40B4-BE49-F238E27FC236}">
                  <a16:creationId xmlns:a16="http://schemas.microsoft.com/office/drawing/2014/main" id="{00000000-0008-0000-0D00-00002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5" name="Button 43" hidden="1">
              <a:extLst>
                <a:ext uri="{63B3BB69-23CF-44E3-9099-C40C66FF867C}">
                  <a14:compatExt spid="_x0000_s13355"/>
                </a:ext>
                <a:ext uri="{FF2B5EF4-FFF2-40B4-BE49-F238E27FC236}">
                  <a16:creationId xmlns:a16="http://schemas.microsoft.com/office/drawing/2014/main" id="{00000000-0008-0000-0D00-00002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6" name="Button 44" hidden="1">
              <a:extLst>
                <a:ext uri="{63B3BB69-23CF-44E3-9099-C40C66FF867C}">
                  <a14:compatExt spid="_x0000_s13356"/>
                </a:ext>
                <a:ext uri="{FF2B5EF4-FFF2-40B4-BE49-F238E27FC236}">
                  <a16:creationId xmlns:a16="http://schemas.microsoft.com/office/drawing/2014/main" id="{00000000-0008-0000-0D00-00002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7" name="Button 45" hidden="1">
              <a:extLst>
                <a:ext uri="{63B3BB69-23CF-44E3-9099-C40C66FF867C}">
                  <a14:compatExt spid="_x0000_s13357"/>
                </a:ext>
                <a:ext uri="{FF2B5EF4-FFF2-40B4-BE49-F238E27FC236}">
                  <a16:creationId xmlns:a16="http://schemas.microsoft.com/office/drawing/2014/main" id="{00000000-0008-0000-0D00-00002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8" name="Button 46" hidden="1">
              <a:extLst>
                <a:ext uri="{63B3BB69-23CF-44E3-9099-C40C66FF867C}">
                  <a14:compatExt spid="_x0000_s13358"/>
                </a:ext>
                <a:ext uri="{FF2B5EF4-FFF2-40B4-BE49-F238E27FC236}">
                  <a16:creationId xmlns:a16="http://schemas.microsoft.com/office/drawing/2014/main" id="{00000000-0008-0000-0D00-00002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59" name="Button 47" hidden="1">
              <a:extLst>
                <a:ext uri="{63B3BB69-23CF-44E3-9099-C40C66FF867C}">
                  <a14:compatExt spid="_x0000_s13359"/>
                </a:ext>
                <a:ext uri="{FF2B5EF4-FFF2-40B4-BE49-F238E27FC236}">
                  <a16:creationId xmlns:a16="http://schemas.microsoft.com/office/drawing/2014/main" id="{00000000-0008-0000-0D00-00002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0" name="Button 48" hidden="1">
              <a:extLst>
                <a:ext uri="{63B3BB69-23CF-44E3-9099-C40C66FF867C}">
                  <a14:compatExt spid="_x0000_s13360"/>
                </a:ext>
                <a:ext uri="{FF2B5EF4-FFF2-40B4-BE49-F238E27FC236}">
                  <a16:creationId xmlns:a16="http://schemas.microsoft.com/office/drawing/2014/main" id="{00000000-0008-0000-0D00-00003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1" name="Button 49" hidden="1">
              <a:extLst>
                <a:ext uri="{63B3BB69-23CF-44E3-9099-C40C66FF867C}">
                  <a14:compatExt spid="_x0000_s13361"/>
                </a:ext>
                <a:ext uri="{FF2B5EF4-FFF2-40B4-BE49-F238E27FC236}">
                  <a16:creationId xmlns:a16="http://schemas.microsoft.com/office/drawing/2014/main" id="{00000000-0008-0000-0D00-00003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2" name="Button 50" hidden="1">
              <a:extLst>
                <a:ext uri="{63B3BB69-23CF-44E3-9099-C40C66FF867C}">
                  <a14:compatExt spid="_x0000_s13362"/>
                </a:ext>
                <a:ext uri="{FF2B5EF4-FFF2-40B4-BE49-F238E27FC236}">
                  <a16:creationId xmlns:a16="http://schemas.microsoft.com/office/drawing/2014/main" id="{00000000-0008-0000-0D00-00003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3" name="Button 51" hidden="1">
              <a:extLst>
                <a:ext uri="{63B3BB69-23CF-44E3-9099-C40C66FF867C}">
                  <a14:compatExt spid="_x0000_s13363"/>
                </a:ext>
                <a:ext uri="{FF2B5EF4-FFF2-40B4-BE49-F238E27FC236}">
                  <a16:creationId xmlns:a16="http://schemas.microsoft.com/office/drawing/2014/main" id="{00000000-0008-0000-0D00-00003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4" name="Button 52" hidden="1">
              <a:extLst>
                <a:ext uri="{63B3BB69-23CF-44E3-9099-C40C66FF867C}">
                  <a14:compatExt spid="_x0000_s13364"/>
                </a:ext>
                <a:ext uri="{FF2B5EF4-FFF2-40B4-BE49-F238E27FC236}">
                  <a16:creationId xmlns:a16="http://schemas.microsoft.com/office/drawing/2014/main" id="{00000000-0008-0000-0D00-00003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5" name="Button 53" hidden="1">
              <a:extLst>
                <a:ext uri="{63B3BB69-23CF-44E3-9099-C40C66FF867C}">
                  <a14:compatExt spid="_x0000_s13365"/>
                </a:ext>
                <a:ext uri="{FF2B5EF4-FFF2-40B4-BE49-F238E27FC236}">
                  <a16:creationId xmlns:a16="http://schemas.microsoft.com/office/drawing/2014/main" id="{00000000-0008-0000-0D00-00003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6" name="Button 54" hidden="1">
              <a:extLst>
                <a:ext uri="{63B3BB69-23CF-44E3-9099-C40C66FF867C}">
                  <a14:compatExt spid="_x0000_s13366"/>
                </a:ext>
                <a:ext uri="{FF2B5EF4-FFF2-40B4-BE49-F238E27FC236}">
                  <a16:creationId xmlns:a16="http://schemas.microsoft.com/office/drawing/2014/main" id="{00000000-0008-0000-0D00-00003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7" name="Button 55" hidden="1">
              <a:extLst>
                <a:ext uri="{63B3BB69-23CF-44E3-9099-C40C66FF867C}">
                  <a14:compatExt spid="_x0000_s13367"/>
                </a:ext>
                <a:ext uri="{FF2B5EF4-FFF2-40B4-BE49-F238E27FC236}">
                  <a16:creationId xmlns:a16="http://schemas.microsoft.com/office/drawing/2014/main" id="{00000000-0008-0000-0D00-00003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8" name="Button 56" hidden="1">
              <a:extLst>
                <a:ext uri="{63B3BB69-23CF-44E3-9099-C40C66FF867C}">
                  <a14:compatExt spid="_x0000_s13368"/>
                </a:ext>
                <a:ext uri="{FF2B5EF4-FFF2-40B4-BE49-F238E27FC236}">
                  <a16:creationId xmlns:a16="http://schemas.microsoft.com/office/drawing/2014/main" id="{00000000-0008-0000-0D00-00003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9" name="Button 57" hidden="1">
              <a:extLst>
                <a:ext uri="{63B3BB69-23CF-44E3-9099-C40C66FF867C}">
                  <a14:compatExt spid="_x0000_s13369"/>
                </a:ext>
                <a:ext uri="{FF2B5EF4-FFF2-40B4-BE49-F238E27FC236}">
                  <a16:creationId xmlns:a16="http://schemas.microsoft.com/office/drawing/2014/main" id="{00000000-0008-0000-0D00-00003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70" name="Button 58" hidden="1">
              <a:extLst>
                <a:ext uri="{63B3BB69-23CF-44E3-9099-C40C66FF867C}">
                  <a14:compatExt spid="_x0000_s13370"/>
                </a:ext>
                <a:ext uri="{FF2B5EF4-FFF2-40B4-BE49-F238E27FC236}">
                  <a16:creationId xmlns:a16="http://schemas.microsoft.com/office/drawing/2014/main" id="{00000000-0008-0000-0D00-00003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E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E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E00-00000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E00-00000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E00-00000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2" name="Button 6" hidden="1">
              <a:extLst>
                <a:ext uri="{63B3BB69-23CF-44E3-9099-C40C66FF867C}">
                  <a14:compatExt spid="_x0000_s14342"/>
                </a:ext>
                <a:ext uri="{FF2B5EF4-FFF2-40B4-BE49-F238E27FC236}">
                  <a16:creationId xmlns:a16="http://schemas.microsoft.com/office/drawing/2014/main" id="{00000000-0008-0000-0E00-00000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3" name="Button 7" hidden="1">
              <a:extLst>
                <a:ext uri="{63B3BB69-23CF-44E3-9099-C40C66FF867C}">
                  <a14:compatExt spid="_x0000_s14343"/>
                </a:ext>
                <a:ext uri="{FF2B5EF4-FFF2-40B4-BE49-F238E27FC236}">
                  <a16:creationId xmlns:a16="http://schemas.microsoft.com/office/drawing/2014/main" id="{00000000-0008-0000-0E00-00000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4" name="Button 8" hidden="1">
              <a:extLst>
                <a:ext uri="{63B3BB69-23CF-44E3-9099-C40C66FF867C}">
                  <a14:compatExt spid="_x0000_s14344"/>
                </a:ext>
                <a:ext uri="{FF2B5EF4-FFF2-40B4-BE49-F238E27FC236}">
                  <a16:creationId xmlns:a16="http://schemas.microsoft.com/office/drawing/2014/main" id="{00000000-0008-0000-0E00-00000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5" name="Button 9" hidden="1">
              <a:extLst>
                <a:ext uri="{63B3BB69-23CF-44E3-9099-C40C66FF867C}">
                  <a14:compatExt spid="_x0000_s14345"/>
                </a:ext>
                <a:ext uri="{FF2B5EF4-FFF2-40B4-BE49-F238E27FC236}">
                  <a16:creationId xmlns:a16="http://schemas.microsoft.com/office/drawing/2014/main" id="{00000000-0008-0000-0E00-00000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6" name="Button 10" hidden="1">
              <a:extLst>
                <a:ext uri="{63B3BB69-23CF-44E3-9099-C40C66FF867C}">
                  <a14:compatExt spid="_x0000_s14346"/>
                </a:ext>
                <a:ext uri="{FF2B5EF4-FFF2-40B4-BE49-F238E27FC236}">
                  <a16:creationId xmlns:a16="http://schemas.microsoft.com/office/drawing/2014/main" id="{00000000-0008-0000-0E00-00000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7" name="Button 11" hidden="1">
              <a:extLst>
                <a:ext uri="{63B3BB69-23CF-44E3-9099-C40C66FF867C}">
                  <a14:compatExt spid="_x0000_s14347"/>
                </a:ext>
                <a:ext uri="{FF2B5EF4-FFF2-40B4-BE49-F238E27FC236}">
                  <a16:creationId xmlns:a16="http://schemas.microsoft.com/office/drawing/2014/main" id="{00000000-0008-0000-0E00-00000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8" name="Button 12" hidden="1">
              <a:extLst>
                <a:ext uri="{63B3BB69-23CF-44E3-9099-C40C66FF867C}">
                  <a14:compatExt spid="_x0000_s14348"/>
                </a:ext>
                <a:ext uri="{FF2B5EF4-FFF2-40B4-BE49-F238E27FC236}">
                  <a16:creationId xmlns:a16="http://schemas.microsoft.com/office/drawing/2014/main" id="{00000000-0008-0000-0E00-00000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9" name="Button 13" hidden="1">
              <a:extLst>
                <a:ext uri="{63B3BB69-23CF-44E3-9099-C40C66FF867C}">
                  <a14:compatExt spid="_x0000_s14349"/>
                </a:ext>
                <a:ext uri="{FF2B5EF4-FFF2-40B4-BE49-F238E27FC236}">
                  <a16:creationId xmlns:a16="http://schemas.microsoft.com/office/drawing/2014/main" id="{00000000-0008-0000-0E00-00000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50" name="Button 14" hidden="1">
              <a:extLst>
                <a:ext uri="{63B3BB69-23CF-44E3-9099-C40C66FF867C}">
                  <a14:compatExt spid="_x0000_s14350"/>
                </a:ext>
                <a:ext uri="{FF2B5EF4-FFF2-40B4-BE49-F238E27FC236}">
                  <a16:creationId xmlns:a16="http://schemas.microsoft.com/office/drawing/2014/main" id="{00000000-0008-0000-0E00-00000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1" name="Button 15" hidden="1">
              <a:extLst>
                <a:ext uri="{63B3BB69-23CF-44E3-9099-C40C66FF867C}">
                  <a14:compatExt spid="_x0000_s14351"/>
                </a:ext>
                <a:ext uri="{FF2B5EF4-FFF2-40B4-BE49-F238E27FC236}">
                  <a16:creationId xmlns:a16="http://schemas.microsoft.com/office/drawing/2014/main" id="{00000000-0008-0000-0E00-00000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2" name="Button 16" hidden="1">
              <a:extLst>
                <a:ext uri="{63B3BB69-23CF-44E3-9099-C40C66FF867C}">
                  <a14:compatExt spid="_x0000_s14352"/>
                </a:ext>
                <a:ext uri="{FF2B5EF4-FFF2-40B4-BE49-F238E27FC236}">
                  <a16:creationId xmlns:a16="http://schemas.microsoft.com/office/drawing/2014/main" id="{00000000-0008-0000-0E00-00001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3" name="Button 17" hidden="1">
              <a:extLst>
                <a:ext uri="{63B3BB69-23CF-44E3-9099-C40C66FF867C}">
                  <a14:compatExt spid="_x0000_s14353"/>
                </a:ext>
                <a:ext uri="{FF2B5EF4-FFF2-40B4-BE49-F238E27FC236}">
                  <a16:creationId xmlns:a16="http://schemas.microsoft.com/office/drawing/2014/main" id="{00000000-0008-0000-0E00-00001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4" name="Button 18" hidden="1">
              <a:extLst>
                <a:ext uri="{63B3BB69-23CF-44E3-9099-C40C66FF867C}">
                  <a14:compatExt spid="_x0000_s14354"/>
                </a:ext>
                <a:ext uri="{FF2B5EF4-FFF2-40B4-BE49-F238E27FC236}">
                  <a16:creationId xmlns:a16="http://schemas.microsoft.com/office/drawing/2014/main" id="{00000000-0008-0000-0E00-00001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5" name="Button 19" hidden="1">
              <a:extLst>
                <a:ext uri="{63B3BB69-23CF-44E3-9099-C40C66FF867C}">
                  <a14:compatExt spid="_x0000_s14355"/>
                </a:ext>
                <a:ext uri="{FF2B5EF4-FFF2-40B4-BE49-F238E27FC236}">
                  <a16:creationId xmlns:a16="http://schemas.microsoft.com/office/drawing/2014/main" id="{00000000-0008-0000-0E00-00001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6" name="Button 20" hidden="1">
              <a:extLst>
                <a:ext uri="{63B3BB69-23CF-44E3-9099-C40C66FF867C}">
                  <a14:compatExt spid="_x0000_s14356"/>
                </a:ext>
                <a:ext uri="{FF2B5EF4-FFF2-40B4-BE49-F238E27FC236}">
                  <a16:creationId xmlns:a16="http://schemas.microsoft.com/office/drawing/2014/main" id="{00000000-0008-0000-0E00-00001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7" name="Button 21" hidden="1">
              <a:extLst>
                <a:ext uri="{63B3BB69-23CF-44E3-9099-C40C66FF867C}">
                  <a14:compatExt spid="_x0000_s14357"/>
                </a:ext>
                <a:ext uri="{FF2B5EF4-FFF2-40B4-BE49-F238E27FC236}">
                  <a16:creationId xmlns:a16="http://schemas.microsoft.com/office/drawing/2014/main" id="{00000000-0008-0000-0E00-00001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8" name="Button 22" hidden="1">
              <a:extLst>
                <a:ext uri="{63B3BB69-23CF-44E3-9099-C40C66FF867C}">
                  <a14:compatExt spid="_x0000_s14358"/>
                </a:ext>
                <a:ext uri="{FF2B5EF4-FFF2-40B4-BE49-F238E27FC236}">
                  <a16:creationId xmlns:a16="http://schemas.microsoft.com/office/drawing/2014/main" id="{00000000-0008-0000-0E00-00001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59" name="Button 23" hidden="1">
              <a:extLst>
                <a:ext uri="{63B3BB69-23CF-44E3-9099-C40C66FF867C}">
                  <a14:compatExt spid="_x0000_s14359"/>
                </a:ext>
                <a:ext uri="{FF2B5EF4-FFF2-40B4-BE49-F238E27FC236}">
                  <a16:creationId xmlns:a16="http://schemas.microsoft.com/office/drawing/2014/main" id="{00000000-0008-0000-0E00-00001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0" name="Button 24" hidden="1">
              <a:extLst>
                <a:ext uri="{63B3BB69-23CF-44E3-9099-C40C66FF867C}">
                  <a14:compatExt spid="_x0000_s14360"/>
                </a:ext>
                <a:ext uri="{FF2B5EF4-FFF2-40B4-BE49-F238E27FC236}">
                  <a16:creationId xmlns:a16="http://schemas.microsoft.com/office/drawing/2014/main" id="{00000000-0008-0000-0E00-00001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1" name="Button 25" hidden="1">
              <a:extLst>
                <a:ext uri="{63B3BB69-23CF-44E3-9099-C40C66FF867C}">
                  <a14:compatExt spid="_x0000_s14361"/>
                </a:ext>
                <a:ext uri="{FF2B5EF4-FFF2-40B4-BE49-F238E27FC236}">
                  <a16:creationId xmlns:a16="http://schemas.microsoft.com/office/drawing/2014/main" id="{00000000-0008-0000-0E00-00001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2" name="Button 26" hidden="1">
              <a:extLst>
                <a:ext uri="{63B3BB69-23CF-44E3-9099-C40C66FF867C}">
                  <a14:compatExt spid="_x0000_s14362"/>
                </a:ext>
                <a:ext uri="{FF2B5EF4-FFF2-40B4-BE49-F238E27FC236}">
                  <a16:creationId xmlns:a16="http://schemas.microsoft.com/office/drawing/2014/main" id="{00000000-0008-0000-0E00-00001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3" name="Button 27" hidden="1">
              <a:extLst>
                <a:ext uri="{63B3BB69-23CF-44E3-9099-C40C66FF867C}">
                  <a14:compatExt spid="_x0000_s14363"/>
                </a:ext>
                <a:ext uri="{FF2B5EF4-FFF2-40B4-BE49-F238E27FC236}">
                  <a16:creationId xmlns:a16="http://schemas.microsoft.com/office/drawing/2014/main" id="{00000000-0008-0000-0E00-00001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4" name="Button 28" hidden="1">
              <a:extLst>
                <a:ext uri="{63B3BB69-23CF-44E3-9099-C40C66FF867C}">
                  <a14:compatExt spid="_x0000_s14364"/>
                </a:ext>
                <a:ext uri="{FF2B5EF4-FFF2-40B4-BE49-F238E27FC236}">
                  <a16:creationId xmlns:a16="http://schemas.microsoft.com/office/drawing/2014/main" id="{00000000-0008-0000-0E00-00001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5" name="Button 29" hidden="1">
              <a:extLst>
                <a:ext uri="{63B3BB69-23CF-44E3-9099-C40C66FF867C}">
                  <a14:compatExt spid="_x0000_s14365"/>
                </a:ext>
                <a:ext uri="{FF2B5EF4-FFF2-40B4-BE49-F238E27FC236}">
                  <a16:creationId xmlns:a16="http://schemas.microsoft.com/office/drawing/2014/main" id="{00000000-0008-0000-0E00-00001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6" name="Button 30" hidden="1">
              <a:extLst>
                <a:ext uri="{63B3BB69-23CF-44E3-9099-C40C66FF867C}">
                  <a14:compatExt spid="_x0000_s14366"/>
                </a:ext>
                <a:ext uri="{FF2B5EF4-FFF2-40B4-BE49-F238E27FC236}">
                  <a16:creationId xmlns:a16="http://schemas.microsoft.com/office/drawing/2014/main" id="{00000000-0008-0000-0E00-00001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7" name="Button 31" hidden="1">
              <a:extLst>
                <a:ext uri="{63B3BB69-23CF-44E3-9099-C40C66FF867C}">
                  <a14:compatExt spid="_x0000_s14367"/>
                </a:ext>
                <a:ext uri="{FF2B5EF4-FFF2-40B4-BE49-F238E27FC236}">
                  <a16:creationId xmlns:a16="http://schemas.microsoft.com/office/drawing/2014/main" id="{00000000-0008-0000-0E00-00001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8" name="Button 32" hidden="1">
              <a:extLst>
                <a:ext uri="{63B3BB69-23CF-44E3-9099-C40C66FF867C}">
                  <a14:compatExt spid="_x0000_s14368"/>
                </a:ext>
                <a:ext uri="{FF2B5EF4-FFF2-40B4-BE49-F238E27FC236}">
                  <a16:creationId xmlns:a16="http://schemas.microsoft.com/office/drawing/2014/main" id="{00000000-0008-0000-0E00-00002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9" name="Button 33" hidden="1">
              <a:extLst>
                <a:ext uri="{63B3BB69-23CF-44E3-9099-C40C66FF867C}">
                  <a14:compatExt spid="_x0000_s14369"/>
                </a:ext>
                <a:ext uri="{FF2B5EF4-FFF2-40B4-BE49-F238E27FC236}">
                  <a16:creationId xmlns:a16="http://schemas.microsoft.com/office/drawing/2014/main" id="{00000000-0008-0000-0E00-00002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70" name="Button 34" hidden="1">
              <a:extLst>
                <a:ext uri="{63B3BB69-23CF-44E3-9099-C40C66FF867C}">
                  <a14:compatExt spid="_x0000_s14370"/>
                </a:ext>
                <a:ext uri="{FF2B5EF4-FFF2-40B4-BE49-F238E27FC236}">
                  <a16:creationId xmlns:a16="http://schemas.microsoft.com/office/drawing/2014/main" id="{00000000-0008-0000-0E00-00002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1" name="Button 35" hidden="1">
              <a:extLst>
                <a:ext uri="{63B3BB69-23CF-44E3-9099-C40C66FF867C}">
                  <a14:compatExt spid="_x0000_s14371"/>
                </a:ext>
                <a:ext uri="{FF2B5EF4-FFF2-40B4-BE49-F238E27FC236}">
                  <a16:creationId xmlns:a16="http://schemas.microsoft.com/office/drawing/2014/main" id="{00000000-0008-0000-0E00-00002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2" name="Button 36" hidden="1">
              <a:extLst>
                <a:ext uri="{63B3BB69-23CF-44E3-9099-C40C66FF867C}">
                  <a14:compatExt spid="_x0000_s14372"/>
                </a:ext>
                <a:ext uri="{FF2B5EF4-FFF2-40B4-BE49-F238E27FC236}">
                  <a16:creationId xmlns:a16="http://schemas.microsoft.com/office/drawing/2014/main" id="{00000000-0008-0000-0E00-00002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3" name="Button 37" hidden="1">
              <a:extLst>
                <a:ext uri="{63B3BB69-23CF-44E3-9099-C40C66FF867C}">
                  <a14:compatExt spid="_x0000_s14373"/>
                </a:ext>
                <a:ext uri="{FF2B5EF4-FFF2-40B4-BE49-F238E27FC236}">
                  <a16:creationId xmlns:a16="http://schemas.microsoft.com/office/drawing/2014/main" id="{00000000-0008-0000-0E00-00002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4" name="Button 38" hidden="1">
              <a:extLst>
                <a:ext uri="{63B3BB69-23CF-44E3-9099-C40C66FF867C}">
                  <a14:compatExt spid="_x0000_s14374"/>
                </a:ext>
                <a:ext uri="{FF2B5EF4-FFF2-40B4-BE49-F238E27FC236}">
                  <a16:creationId xmlns:a16="http://schemas.microsoft.com/office/drawing/2014/main" id="{00000000-0008-0000-0E00-00002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5" name="Button 39" hidden="1">
              <a:extLst>
                <a:ext uri="{63B3BB69-23CF-44E3-9099-C40C66FF867C}">
                  <a14:compatExt spid="_x0000_s14375"/>
                </a:ext>
                <a:ext uri="{FF2B5EF4-FFF2-40B4-BE49-F238E27FC236}">
                  <a16:creationId xmlns:a16="http://schemas.microsoft.com/office/drawing/2014/main" id="{00000000-0008-0000-0E00-00002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6" name="Button 40" hidden="1">
              <a:extLst>
                <a:ext uri="{63B3BB69-23CF-44E3-9099-C40C66FF867C}">
                  <a14:compatExt spid="_x0000_s14376"/>
                </a:ext>
                <a:ext uri="{FF2B5EF4-FFF2-40B4-BE49-F238E27FC236}">
                  <a16:creationId xmlns:a16="http://schemas.microsoft.com/office/drawing/2014/main" id="{00000000-0008-0000-0E00-00002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7" name="Button 41" hidden="1">
              <a:extLst>
                <a:ext uri="{63B3BB69-23CF-44E3-9099-C40C66FF867C}">
                  <a14:compatExt spid="_x0000_s14377"/>
                </a:ext>
                <a:ext uri="{FF2B5EF4-FFF2-40B4-BE49-F238E27FC236}">
                  <a16:creationId xmlns:a16="http://schemas.microsoft.com/office/drawing/2014/main" id="{00000000-0008-0000-0E00-00002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8" name="Button 42" hidden="1">
              <a:extLst>
                <a:ext uri="{63B3BB69-23CF-44E3-9099-C40C66FF867C}">
                  <a14:compatExt spid="_x0000_s14378"/>
                </a:ext>
                <a:ext uri="{FF2B5EF4-FFF2-40B4-BE49-F238E27FC236}">
                  <a16:creationId xmlns:a16="http://schemas.microsoft.com/office/drawing/2014/main" id="{00000000-0008-0000-0E00-00002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79" name="Button 43" hidden="1">
              <a:extLst>
                <a:ext uri="{63B3BB69-23CF-44E3-9099-C40C66FF867C}">
                  <a14:compatExt spid="_x0000_s14379"/>
                </a:ext>
                <a:ext uri="{FF2B5EF4-FFF2-40B4-BE49-F238E27FC236}">
                  <a16:creationId xmlns:a16="http://schemas.microsoft.com/office/drawing/2014/main" id="{00000000-0008-0000-0E00-00002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0" name="Button 44" hidden="1">
              <a:extLst>
                <a:ext uri="{63B3BB69-23CF-44E3-9099-C40C66FF867C}">
                  <a14:compatExt spid="_x0000_s14380"/>
                </a:ext>
                <a:ext uri="{FF2B5EF4-FFF2-40B4-BE49-F238E27FC236}">
                  <a16:creationId xmlns:a16="http://schemas.microsoft.com/office/drawing/2014/main" id="{00000000-0008-0000-0E00-00002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1" name="Button 45" hidden="1">
              <a:extLst>
                <a:ext uri="{63B3BB69-23CF-44E3-9099-C40C66FF867C}">
                  <a14:compatExt spid="_x0000_s14381"/>
                </a:ext>
                <a:ext uri="{FF2B5EF4-FFF2-40B4-BE49-F238E27FC236}">
                  <a16:creationId xmlns:a16="http://schemas.microsoft.com/office/drawing/2014/main" id="{00000000-0008-0000-0E00-00002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2" name="Button 46" hidden="1">
              <a:extLst>
                <a:ext uri="{63B3BB69-23CF-44E3-9099-C40C66FF867C}">
                  <a14:compatExt spid="_x0000_s14382"/>
                </a:ext>
                <a:ext uri="{FF2B5EF4-FFF2-40B4-BE49-F238E27FC236}">
                  <a16:creationId xmlns:a16="http://schemas.microsoft.com/office/drawing/2014/main" id="{00000000-0008-0000-0E00-00002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3" name="Button 47" hidden="1">
              <a:extLst>
                <a:ext uri="{63B3BB69-23CF-44E3-9099-C40C66FF867C}">
                  <a14:compatExt spid="_x0000_s14383"/>
                </a:ext>
                <a:ext uri="{FF2B5EF4-FFF2-40B4-BE49-F238E27FC236}">
                  <a16:creationId xmlns:a16="http://schemas.microsoft.com/office/drawing/2014/main" id="{00000000-0008-0000-0E00-00002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4" name="Button 48" hidden="1">
              <a:extLst>
                <a:ext uri="{63B3BB69-23CF-44E3-9099-C40C66FF867C}">
                  <a14:compatExt spid="_x0000_s14384"/>
                </a:ext>
                <a:ext uri="{FF2B5EF4-FFF2-40B4-BE49-F238E27FC236}">
                  <a16:creationId xmlns:a16="http://schemas.microsoft.com/office/drawing/2014/main" id="{00000000-0008-0000-0E00-00003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5" name="Button 49" hidden="1">
              <a:extLst>
                <a:ext uri="{63B3BB69-23CF-44E3-9099-C40C66FF867C}">
                  <a14:compatExt spid="_x0000_s14385"/>
                </a:ext>
                <a:ext uri="{FF2B5EF4-FFF2-40B4-BE49-F238E27FC236}">
                  <a16:creationId xmlns:a16="http://schemas.microsoft.com/office/drawing/2014/main" id="{00000000-0008-0000-0E00-00003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6" name="Button 50" hidden="1">
              <a:extLst>
                <a:ext uri="{63B3BB69-23CF-44E3-9099-C40C66FF867C}">
                  <a14:compatExt spid="_x0000_s14386"/>
                </a:ext>
                <a:ext uri="{FF2B5EF4-FFF2-40B4-BE49-F238E27FC236}">
                  <a16:creationId xmlns:a16="http://schemas.microsoft.com/office/drawing/2014/main" id="{00000000-0008-0000-0E00-00003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7" name="Button 51" hidden="1">
              <a:extLst>
                <a:ext uri="{63B3BB69-23CF-44E3-9099-C40C66FF867C}">
                  <a14:compatExt spid="_x0000_s14387"/>
                </a:ext>
                <a:ext uri="{FF2B5EF4-FFF2-40B4-BE49-F238E27FC236}">
                  <a16:creationId xmlns:a16="http://schemas.microsoft.com/office/drawing/2014/main" id="{00000000-0008-0000-0E00-00003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8" name="Button 52" hidden="1">
              <a:extLst>
                <a:ext uri="{63B3BB69-23CF-44E3-9099-C40C66FF867C}">
                  <a14:compatExt spid="_x0000_s14388"/>
                </a:ext>
                <a:ext uri="{FF2B5EF4-FFF2-40B4-BE49-F238E27FC236}">
                  <a16:creationId xmlns:a16="http://schemas.microsoft.com/office/drawing/2014/main" id="{00000000-0008-0000-0E00-00003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9" name="Button 53" hidden="1">
              <a:extLst>
                <a:ext uri="{63B3BB69-23CF-44E3-9099-C40C66FF867C}">
                  <a14:compatExt spid="_x0000_s14389"/>
                </a:ext>
                <a:ext uri="{FF2B5EF4-FFF2-40B4-BE49-F238E27FC236}">
                  <a16:creationId xmlns:a16="http://schemas.microsoft.com/office/drawing/2014/main" id="{00000000-0008-0000-0E00-00003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90" name="Button 54" hidden="1">
              <a:extLst>
                <a:ext uri="{63B3BB69-23CF-44E3-9099-C40C66FF867C}">
                  <a14:compatExt spid="_x0000_s14390"/>
                </a:ext>
                <a:ext uri="{FF2B5EF4-FFF2-40B4-BE49-F238E27FC236}">
                  <a16:creationId xmlns:a16="http://schemas.microsoft.com/office/drawing/2014/main" id="{00000000-0008-0000-0E00-00003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1" name="Button 55" hidden="1">
              <a:extLst>
                <a:ext uri="{63B3BB69-23CF-44E3-9099-C40C66FF867C}">
                  <a14:compatExt spid="_x0000_s14391"/>
                </a:ext>
                <a:ext uri="{FF2B5EF4-FFF2-40B4-BE49-F238E27FC236}">
                  <a16:creationId xmlns:a16="http://schemas.microsoft.com/office/drawing/2014/main" id="{00000000-0008-0000-0E00-00003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2" name="Button 56" hidden="1">
              <a:extLst>
                <a:ext uri="{63B3BB69-23CF-44E3-9099-C40C66FF867C}">
                  <a14:compatExt spid="_x0000_s14392"/>
                </a:ext>
                <a:ext uri="{FF2B5EF4-FFF2-40B4-BE49-F238E27FC236}">
                  <a16:creationId xmlns:a16="http://schemas.microsoft.com/office/drawing/2014/main" id="{00000000-0008-0000-0E00-00003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3" name="Button 57" hidden="1">
              <a:extLst>
                <a:ext uri="{63B3BB69-23CF-44E3-9099-C40C66FF867C}">
                  <a14:compatExt spid="_x0000_s14393"/>
                </a:ext>
                <a:ext uri="{FF2B5EF4-FFF2-40B4-BE49-F238E27FC236}">
                  <a16:creationId xmlns:a16="http://schemas.microsoft.com/office/drawing/2014/main" id="{00000000-0008-0000-0E00-00003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4" name="Button 58" hidden="1">
              <a:extLst>
                <a:ext uri="{63B3BB69-23CF-44E3-9099-C40C66FF867C}">
                  <a14:compatExt spid="_x0000_s14394"/>
                </a:ext>
                <a:ext uri="{FF2B5EF4-FFF2-40B4-BE49-F238E27FC236}">
                  <a16:creationId xmlns:a16="http://schemas.microsoft.com/office/drawing/2014/main" id="{00000000-0008-0000-0E00-00003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F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F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F00-000003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F00-000004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F00-000005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F00-000006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10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10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1000-000003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1000-000004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9" name="Button 5" hidden="1">
              <a:extLst>
                <a:ext uri="{63B3BB69-23CF-44E3-9099-C40C66FF867C}">
                  <a14:compatExt spid="_x0000_s16389"/>
                </a:ext>
                <a:ext uri="{FF2B5EF4-FFF2-40B4-BE49-F238E27FC236}">
                  <a16:creationId xmlns:a16="http://schemas.microsoft.com/office/drawing/2014/main" id="{00000000-0008-0000-1000-000005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90" name="Button 6" hidden="1">
              <a:extLst>
                <a:ext uri="{63B3BB69-23CF-44E3-9099-C40C66FF867C}">
                  <a14:compatExt spid="_x0000_s16390"/>
                </a:ext>
                <a:ext uri="{FF2B5EF4-FFF2-40B4-BE49-F238E27FC236}">
                  <a16:creationId xmlns:a16="http://schemas.microsoft.com/office/drawing/2014/main" id="{00000000-0008-0000-1000-000006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1100-000003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1100-000004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1100-000005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1100-000006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12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104775</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12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1200-00000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6" name="Button 4" hidden="1">
              <a:extLst>
                <a:ext uri="{63B3BB69-23CF-44E3-9099-C40C66FF867C}">
                  <a14:compatExt spid="_x0000_s18436"/>
                </a:ext>
                <a:ext uri="{FF2B5EF4-FFF2-40B4-BE49-F238E27FC236}">
                  <a16:creationId xmlns:a16="http://schemas.microsoft.com/office/drawing/2014/main" id="{00000000-0008-0000-1200-00000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7" name="Button 5" hidden="1">
              <a:extLst>
                <a:ext uri="{63B3BB69-23CF-44E3-9099-C40C66FF867C}">
                  <a14:compatExt spid="_x0000_s18437"/>
                </a:ext>
                <a:ext uri="{FF2B5EF4-FFF2-40B4-BE49-F238E27FC236}">
                  <a16:creationId xmlns:a16="http://schemas.microsoft.com/office/drawing/2014/main" id="{00000000-0008-0000-1200-00000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8" name="Button 6" hidden="1">
              <a:extLst>
                <a:ext uri="{63B3BB69-23CF-44E3-9099-C40C66FF867C}">
                  <a14:compatExt spid="_x0000_s18438"/>
                </a:ext>
                <a:ext uri="{FF2B5EF4-FFF2-40B4-BE49-F238E27FC236}">
                  <a16:creationId xmlns:a16="http://schemas.microsoft.com/office/drawing/2014/main" id="{00000000-0008-0000-1200-00000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39" name="Button 7" hidden="1">
              <a:extLst>
                <a:ext uri="{63B3BB69-23CF-44E3-9099-C40C66FF867C}">
                  <a14:compatExt spid="_x0000_s18439"/>
                </a:ext>
                <a:ext uri="{FF2B5EF4-FFF2-40B4-BE49-F238E27FC236}">
                  <a16:creationId xmlns:a16="http://schemas.microsoft.com/office/drawing/2014/main" id="{00000000-0008-0000-1200-00000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0" name="Button 8" hidden="1">
              <a:extLst>
                <a:ext uri="{63B3BB69-23CF-44E3-9099-C40C66FF867C}">
                  <a14:compatExt spid="_x0000_s18440"/>
                </a:ext>
                <a:ext uri="{FF2B5EF4-FFF2-40B4-BE49-F238E27FC236}">
                  <a16:creationId xmlns:a16="http://schemas.microsoft.com/office/drawing/2014/main" id="{00000000-0008-0000-1200-00000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1" name="Button 9" hidden="1">
              <a:extLst>
                <a:ext uri="{63B3BB69-23CF-44E3-9099-C40C66FF867C}">
                  <a14:compatExt spid="_x0000_s18441"/>
                </a:ext>
                <a:ext uri="{FF2B5EF4-FFF2-40B4-BE49-F238E27FC236}">
                  <a16:creationId xmlns:a16="http://schemas.microsoft.com/office/drawing/2014/main" id="{00000000-0008-0000-1200-00000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2" name="Button 10" hidden="1">
              <a:extLst>
                <a:ext uri="{63B3BB69-23CF-44E3-9099-C40C66FF867C}">
                  <a14:compatExt spid="_x0000_s18442"/>
                </a:ext>
                <a:ext uri="{FF2B5EF4-FFF2-40B4-BE49-F238E27FC236}">
                  <a16:creationId xmlns:a16="http://schemas.microsoft.com/office/drawing/2014/main" id="{00000000-0008-0000-1200-00000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3" name="Button 11" hidden="1">
              <a:extLst>
                <a:ext uri="{63B3BB69-23CF-44E3-9099-C40C66FF867C}">
                  <a14:compatExt spid="_x0000_s18443"/>
                </a:ext>
                <a:ext uri="{FF2B5EF4-FFF2-40B4-BE49-F238E27FC236}">
                  <a16:creationId xmlns:a16="http://schemas.microsoft.com/office/drawing/2014/main" id="{00000000-0008-0000-1200-00000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4" name="Button 12" hidden="1">
              <a:extLst>
                <a:ext uri="{63B3BB69-23CF-44E3-9099-C40C66FF867C}">
                  <a14:compatExt spid="_x0000_s18444"/>
                </a:ext>
                <a:ext uri="{FF2B5EF4-FFF2-40B4-BE49-F238E27FC236}">
                  <a16:creationId xmlns:a16="http://schemas.microsoft.com/office/drawing/2014/main" id="{00000000-0008-0000-1200-00000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5" name="Button 13" hidden="1">
              <a:extLst>
                <a:ext uri="{63B3BB69-23CF-44E3-9099-C40C66FF867C}">
                  <a14:compatExt spid="_x0000_s18445"/>
                </a:ext>
                <a:ext uri="{FF2B5EF4-FFF2-40B4-BE49-F238E27FC236}">
                  <a16:creationId xmlns:a16="http://schemas.microsoft.com/office/drawing/2014/main" id="{00000000-0008-0000-1200-00000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6" name="Button 14" hidden="1">
              <a:extLst>
                <a:ext uri="{63B3BB69-23CF-44E3-9099-C40C66FF867C}">
                  <a14:compatExt spid="_x0000_s18446"/>
                </a:ext>
                <a:ext uri="{FF2B5EF4-FFF2-40B4-BE49-F238E27FC236}">
                  <a16:creationId xmlns:a16="http://schemas.microsoft.com/office/drawing/2014/main" id="{00000000-0008-0000-1200-00000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7" name="Button 15" hidden="1">
              <a:extLst>
                <a:ext uri="{63B3BB69-23CF-44E3-9099-C40C66FF867C}">
                  <a14:compatExt spid="_x0000_s18447"/>
                </a:ext>
                <a:ext uri="{FF2B5EF4-FFF2-40B4-BE49-F238E27FC236}">
                  <a16:creationId xmlns:a16="http://schemas.microsoft.com/office/drawing/2014/main" id="{00000000-0008-0000-1200-00000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8" name="Button 16" hidden="1">
              <a:extLst>
                <a:ext uri="{63B3BB69-23CF-44E3-9099-C40C66FF867C}">
                  <a14:compatExt spid="_x0000_s18448"/>
                </a:ext>
                <a:ext uri="{FF2B5EF4-FFF2-40B4-BE49-F238E27FC236}">
                  <a16:creationId xmlns:a16="http://schemas.microsoft.com/office/drawing/2014/main" id="{00000000-0008-0000-1200-00001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9" name="Button 17" hidden="1">
              <a:extLst>
                <a:ext uri="{63B3BB69-23CF-44E3-9099-C40C66FF867C}">
                  <a14:compatExt spid="_x0000_s18449"/>
                </a:ext>
                <a:ext uri="{FF2B5EF4-FFF2-40B4-BE49-F238E27FC236}">
                  <a16:creationId xmlns:a16="http://schemas.microsoft.com/office/drawing/2014/main" id="{00000000-0008-0000-1200-00001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50" name="Button 18" hidden="1">
              <a:extLst>
                <a:ext uri="{63B3BB69-23CF-44E3-9099-C40C66FF867C}">
                  <a14:compatExt spid="_x0000_s18450"/>
                </a:ext>
                <a:ext uri="{FF2B5EF4-FFF2-40B4-BE49-F238E27FC236}">
                  <a16:creationId xmlns:a16="http://schemas.microsoft.com/office/drawing/2014/main" id="{00000000-0008-0000-1200-00001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1" name="Button 19" hidden="1">
              <a:extLst>
                <a:ext uri="{63B3BB69-23CF-44E3-9099-C40C66FF867C}">
                  <a14:compatExt spid="_x0000_s18451"/>
                </a:ext>
                <a:ext uri="{FF2B5EF4-FFF2-40B4-BE49-F238E27FC236}">
                  <a16:creationId xmlns:a16="http://schemas.microsoft.com/office/drawing/2014/main" id="{00000000-0008-0000-1200-00001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2" name="Button 20" hidden="1">
              <a:extLst>
                <a:ext uri="{63B3BB69-23CF-44E3-9099-C40C66FF867C}">
                  <a14:compatExt spid="_x0000_s18452"/>
                </a:ext>
                <a:ext uri="{FF2B5EF4-FFF2-40B4-BE49-F238E27FC236}">
                  <a16:creationId xmlns:a16="http://schemas.microsoft.com/office/drawing/2014/main" id="{00000000-0008-0000-1200-00001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3" name="Button 21" hidden="1">
              <a:extLst>
                <a:ext uri="{63B3BB69-23CF-44E3-9099-C40C66FF867C}">
                  <a14:compatExt spid="_x0000_s18453"/>
                </a:ext>
                <a:ext uri="{FF2B5EF4-FFF2-40B4-BE49-F238E27FC236}">
                  <a16:creationId xmlns:a16="http://schemas.microsoft.com/office/drawing/2014/main" id="{00000000-0008-0000-1200-00001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4" name="Button 22" hidden="1">
              <a:extLst>
                <a:ext uri="{63B3BB69-23CF-44E3-9099-C40C66FF867C}">
                  <a14:compatExt spid="_x0000_s18454"/>
                </a:ext>
                <a:ext uri="{FF2B5EF4-FFF2-40B4-BE49-F238E27FC236}">
                  <a16:creationId xmlns:a16="http://schemas.microsoft.com/office/drawing/2014/main" id="{00000000-0008-0000-1200-00001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5" name="Button 23" hidden="1">
              <a:extLst>
                <a:ext uri="{63B3BB69-23CF-44E3-9099-C40C66FF867C}">
                  <a14:compatExt spid="_x0000_s18455"/>
                </a:ext>
                <a:ext uri="{FF2B5EF4-FFF2-40B4-BE49-F238E27FC236}">
                  <a16:creationId xmlns:a16="http://schemas.microsoft.com/office/drawing/2014/main" id="{00000000-0008-0000-1200-00001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6" name="Button 24" hidden="1">
              <a:extLst>
                <a:ext uri="{63B3BB69-23CF-44E3-9099-C40C66FF867C}">
                  <a14:compatExt spid="_x0000_s18456"/>
                </a:ext>
                <a:ext uri="{FF2B5EF4-FFF2-40B4-BE49-F238E27FC236}">
                  <a16:creationId xmlns:a16="http://schemas.microsoft.com/office/drawing/2014/main" id="{00000000-0008-0000-1200-00001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7" name="Button 25" hidden="1">
              <a:extLst>
                <a:ext uri="{63B3BB69-23CF-44E3-9099-C40C66FF867C}">
                  <a14:compatExt spid="_x0000_s18457"/>
                </a:ext>
                <a:ext uri="{FF2B5EF4-FFF2-40B4-BE49-F238E27FC236}">
                  <a16:creationId xmlns:a16="http://schemas.microsoft.com/office/drawing/2014/main" id="{00000000-0008-0000-1200-00001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8" name="Button 26" hidden="1">
              <a:extLst>
                <a:ext uri="{63B3BB69-23CF-44E3-9099-C40C66FF867C}">
                  <a14:compatExt spid="_x0000_s18458"/>
                </a:ext>
                <a:ext uri="{FF2B5EF4-FFF2-40B4-BE49-F238E27FC236}">
                  <a16:creationId xmlns:a16="http://schemas.microsoft.com/office/drawing/2014/main" id="{00000000-0008-0000-1200-00001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59" name="Button 27" hidden="1">
              <a:extLst>
                <a:ext uri="{63B3BB69-23CF-44E3-9099-C40C66FF867C}">
                  <a14:compatExt spid="_x0000_s18459"/>
                </a:ext>
                <a:ext uri="{FF2B5EF4-FFF2-40B4-BE49-F238E27FC236}">
                  <a16:creationId xmlns:a16="http://schemas.microsoft.com/office/drawing/2014/main" id="{00000000-0008-0000-1200-00001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0" name="Button 28" hidden="1">
              <a:extLst>
                <a:ext uri="{63B3BB69-23CF-44E3-9099-C40C66FF867C}">
                  <a14:compatExt spid="_x0000_s18460"/>
                </a:ext>
                <a:ext uri="{FF2B5EF4-FFF2-40B4-BE49-F238E27FC236}">
                  <a16:creationId xmlns:a16="http://schemas.microsoft.com/office/drawing/2014/main" id="{00000000-0008-0000-1200-00001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1" name="Button 29" hidden="1">
              <a:extLst>
                <a:ext uri="{63B3BB69-23CF-44E3-9099-C40C66FF867C}">
                  <a14:compatExt spid="_x0000_s18461"/>
                </a:ext>
                <a:ext uri="{FF2B5EF4-FFF2-40B4-BE49-F238E27FC236}">
                  <a16:creationId xmlns:a16="http://schemas.microsoft.com/office/drawing/2014/main" id="{00000000-0008-0000-1200-00001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2" name="Button 30" hidden="1">
              <a:extLst>
                <a:ext uri="{63B3BB69-23CF-44E3-9099-C40C66FF867C}">
                  <a14:compatExt spid="_x0000_s18462"/>
                </a:ext>
                <a:ext uri="{FF2B5EF4-FFF2-40B4-BE49-F238E27FC236}">
                  <a16:creationId xmlns:a16="http://schemas.microsoft.com/office/drawing/2014/main" id="{00000000-0008-0000-1200-00001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3" name="Button 31" hidden="1">
              <a:extLst>
                <a:ext uri="{63B3BB69-23CF-44E3-9099-C40C66FF867C}">
                  <a14:compatExt spid="_x0000_s18463"/>
                </a:ext>
                <a:ext uri="{FF2B5EF4-FFF2-40B4-BE49-F238E27FC236}">
                  <a16:creationId xmlns:a16="http://schemas.microsoft.com/office/drawing/2014/main" id="{00000000-0008-0000-1200-00001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4" name="Button 32" hidden="1">
              <a:extLst>
                <a:ext uri="{63B3BB69-23CF-44E3-9099-C40C66FF867C}">
                  <a14:compatExt spid="_x0000_s18464"/>
                </a:ext>
                <a:ext uri="{FF2B5EF4-FFF2-40B4-BE49-F238E27FC236}">
                  <a16:creationId xmlns:a16="http://schemas.microsoft.com/office/drawing/2014/main" id="{00000000-0008-0000-1200-00002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5" name="Button 33" hidden="1">
              <a:extLst>
                <a:ext uri="{63B3BB69-23CF-44E3-9099-C40C66FF867C}">
                  <a14:compatExt spid="_x0000_s18465"/>
                </a:ext>
                <a:ext uri="{FF2B5EF4-FFF2-40B4-BE49-F238E27FC236}">
                  <a16:creationId xmlns:a16="http://schemas.microsoft.com/office/drawing/2014/main" id="{00000000-0008-0000-1200-00002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6" name="Button 34" hidden="1">
              <a:extLst>
                <a:ext uri="{63B3BB69-23CF-44E3-9099-C40C66FF867C}">
                  <a14:compatExt spid="_x0000_s18466"/>
                </a:ext>
                <a:ext uri="{FF2B5EF4-FFF2-40B4-BE49-F238E27FC236}">
                  <a16:creationId xmlns:a16="http://schemas.microsoft.com/office/drawing/2014/main" id="{00000000-0008-0000-1200-00002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7" name="Button 35" hidden="1">
              <a:extLst>
                <a:ext uri="{63B3BB69-23CF-44E3-9099-C40C66FF867C}">
                  <a14:compatExt spid="_x0000_s18467"/>
                </a:ext>
                <a:ext uri="{FF2B5EF4-FFF2-40B4-BE49-F238E27FC236}">
                  <a16:creationId xmlns:a16="http://schemas.microsoft.com/office/drawing/2014/main" id="{00000000-0008-0000-1200-00002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8" name="Button 36" hidden="1">
              <a:extLst>
                <a:ext uri="{63B3BB69-23CF-44E3-9099-C40C66FF867C}">
                  <a14:compatExt spid="_x0000_s18468"/>
                </a:ext>
                <a:ext uri="{FF2B5EF4-FFF2-40B4-BE49-F238E27FC236}">
                  <a16:creationId xmlns:a16="http://schemas.microsoft.com/office/drawing/2014/main" id="{00000000-0008-0000-1200-00002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9" name="Button 37" hidden="1">
              <a:extLst>
                <a:ext uri="{63B3BB69-23CF-44E3-9099-C40C66FF867C}">
                  <a14:compatExt spid="_x0000_s18469"/>
                </a:ext>
                <a:ext uri="{FF2B5EF4-FFF2-40B4-BE49-F238E27FC236}">
                  <a16:creationId xmlns:a16="http://schemas.microsoft.com/office/drawing/2014/main" id="{00000000-0008-0000-1200-00002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70" name="Button 38" hidden="1">
              <a:extLst>
                <a:ext uri="{63B3BB69-23CF-44E3-9099-C40C66FF867C}">
                  <a14:compatExt spid="_x0000_s18470"/>
                </a:ext>
                <a:ext uri="{FF2B5EF4-FFF2-40B4-BE49-F238E27FC236}">
                  <a16:creationId xmlns:a16="http://schemas.microsoft.com/office/drawing/2014/main" id="{00000000-0008-0000-1200-00002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1" name="Button 39" hidden="1">
              <a:extLst>
                <a:ext uri="{63B3BB69-23CF-44E3-9099-C40C66FF867C}">
                  <a14:compatExt spid="_x0000_s18471"/>
                </a:ext>
                <a:ext uri="{FF2B5EF4-FFF2-40B4-BE49-F238E27FC236}">
                  <a16:creationId xmlns:a16="http://schemas.microsoft.com/office/drawing/2014/main" id="{00000000-0008-0000-1200-00002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2" name="Button 40" hidden="1">
              <a:extLst>
                <a:ext uri="{63B3BB69-23CF-44E3-9099-C40C66FF867C}">
                  <a14:compatExt spid="_x0000_s18472"/>
                </a:ext>
                <a:ext uri="{FF2B5EF4-FFF2-40B4-BE49-F238E27FC236}">
                  <a16:creationId xmlns:a16="http://schemas.microsoft.com/office/drawing/2014/main" id="{00000000-0008-0000-1200-00002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3" name="Button 41" hidden="1">
              <a:extLst>
                <a:ext uri="{63B3BB69-23CF-44E3-9099-C40C66FF867C}">
                  <a14:compatExt spid="_x0000_s18473"/>
                </a:ext>
                <a:ext uri="{FF2B5EF4-FFF2-40B4-BE49-F238E27FC236}">
                  <a16:creationId xmlns:a16="http://schemas.microsoft.com/office/drawing/2014/main" id="{00000000-0008-0000-1200-00002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4" name="Button 42" hidden="1">
              <a:extLst>
                <a:ext uri="{63B3BB69-23CF-44E3-9099-C40C66FF867C}">
                  <a14:compatExt spid="_x0000_s18474"/>
                </a:ext>
                <a:ext uri="{FF2B5EF4-FFF2-40B4-BE49-F238E27FC236}">
                  <a16:creationId xmlns:a16="http://schemas.microsoft.com/office/drawing/2014/main" id="{00000000-0008-0000-1200-00002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5" name="Button 43" hidden="1">
              <a:extLst>
                <a:ext uri="{63B3BB69-23CF-44E3-9099-C40C66FF867C}">
                  <a14:compatExt spid="_x0000_s18475"/>
                </a:ext>
                <a:ext uri="{FF2B5EF4-FFF2-40B4-BE49-F238E27FC236}">
                  <a16:creationId xmlns:a16="http://schemas.microsoft.com/office/drawing/2014/main" id="{00000000-0008-0000-1200-00002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6" name="Button 44" hidden="1">
              <a:extLst>
                <a:ext uri="{63B3BB69-23CF-44E3-9099-C40C66FF867C}">
                  <a14:compatExt spid="_x0000_s18476"/>
                </a:ext>
                <a:ext uri="{FF2B5EF4-FFF2-40B4-BE49-F238E27FC236}">
                  <a16:creationId xmlns:a16="http://schemas.microsoft.com/office/drawing/2014/main" id="{00000000-0008-0000-1200-00002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7" name="Button 45" hidden="1">
              <a:extLst>
                <a:ext uri="{63B3BB69-23CF-44E3-9099-C40C66FF867C}">
                  <a14:compatExt spid="_x0000_s18477"/>
                </a:ext>
                <a:ext uri="{FF2B5EF4-FFF2-40B4-BE49-F238E27FC236}">
                  <a16:creationId xmlns:a16="http://schemas.microsoft.com/office/drawing/2014/main" id="{00000000-0008-0000-1200-00002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8" name="Button 46" hidden="1">
              <a:extLst>
                <a:ext uri="{63B3BB69-23CF-44E3-9099-C40C66FF867C}">
                  <a14:compatExt spid="_x0000_s18478"/>
                </a:ext>
                <a:ext uri="{FF2B5EF4-FFF2-40B4-BE49-F238E27FC236}">
                  <a16:creationId xmlns:a16="http://schemas.microsoft.com/office/drawing/2014/main" id="{00000000-0008-0000-1200-00002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79" name="Button 47" hidden="1">
              <a:extLst>
                <a:ext uri="{63B3BB69-23CF-44E3-9099-C40C66FF867C}">
                  <a14:compatExt spid="_x0000_s18479"/>
                </a:ext>
                <a:ext uri="{FF2B5EF4-FFF2-40B4-BE49-F238E27FC236}">
                  <a16:creationId xmlns:a16="http://schemas.microsoft.com/office/drawing/2014/main" id="{00000000-0008-0000-1200-00002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0" name="Button 48" hidden="1">
              <a:extLst>
                <a:ext uri="{63B3BB69-23CF-44E3-9099-C40C66FF867C}">
                  <a14:compatExt spid="_x0000_s18480"/>
                </a:ext>
                <a:ext uri="{FF2B5EF4-FFF2-40B4-BE49-F238E27FC236}">
                  <a16:creationId xmlns:a16="http://schemas.microsoft.com/office/drawing/2014/main" id="{00000000-0008-0000-1200-00003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1" name="Button 49" hidden="1">
              <a:extLst>
                <a:ext uri="{63B3BB69-23CF-44E3-9099-C40C66FF867C}">
                  <a14:compatExt spid="_x0000_s18481"/>
                </a:ext>
                <a:ext uri="{FF2B5EF4-FFF2-40B4-BE49-F238E27FC236}">
                  <a16:creationId xmlns:a16="http://schemas.microsoft.com/office/drawing/2014/main" id="{00000000-0008-0000-1200-00003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2" name="Button 50" hidden="1">
              <a:extLst>
                <a:ext uri="{63B3BB69-23CF-44E3-9099-C40C66FF867C}">
                  <a14:compatExt spid="_x0000_s18482"/>
                </a:ext>
                <a:ext uri="{FF2B5EF4-FFF2-40B4-BE49-F238E27FC236}">
                  <a16:creationId xmlns:a16="http://schemas.microsoft.com/office/drawing/2014/main" id="{00000000-0008-0000-1200-00003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3" name="Button 51" hidden="1">
              <a:extLst>
                <a:ext uri="{63B3BB69-23CF-44E3-9099-C40C66FF867C}">
                  <a14:compatExt spid="_x0000_s18483"/>
                </a:ext>
                <a:ext uri="{FF2B5EF4-FFF2-40B4-BE49-F238E27FC236}">
                  <a16:creationId xmlns:a16="http://schemas.microsoft.com/office/drawing/2014/main" id="{00000000-0008-0000-1200-00003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4" name="Button 52" hidden="1">
              <a:extLst>
                <a:ext uri="{63B3BB69-23CF-44E3-9099-C40C66FF867C}">
                  <a14:compatExt spid="_x0000_s18484"/>
                </a:ext>
                <a:ext uri="{FF2B5EF4-FFF2-40B4-BE49-F238E27FC236}">
                  <a16:creationId xmlns:a16="http://schemas.microsoft.com/office/drawing/2014/main" id="{00000000-0008-0000-1200-00003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5" name="Button 53" hidden="1">
              <a:extLst>
                <a:ext uri="{63B3BB69-23CF-44E3-9099-C40C66FF867C}">
                  <a14:compatExt spid="_x0000_s18485"/>
                </a:ext>
                <a:ext uri="{FF2B5EF4-FFF2-40B4-BE49-F238E27FC236}">
                  <a16:creationId xmlns:a16="http://schemas.microsoft.com/office/drawing/2014/main" id="{00000000-0008-0000-1200-00003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6" name="Button 54" hidden="1">
              <a:extLst>
                <a:ext uri="{63B3BB69-23CF-44E3-9099-C40C66FF867C}">
                  <a14:compatExt spid="_x0000_s18486"/>
                </a:ext>
                <a:ext uri="{FF2B5EF4-FFF2-40B4-BE49-F238E27FC236}">
                  <a16:creationId xmlns:a16="http://schemas.microsoft.com/office/drawing/2014/main" id="{00000000-0008-0000-1200-00003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7" name="Button 55" hidden="1">
              <a:extLst>
                <a:ext uri="{63B3BB69-23CF-44E3-9099-C40C66FF867C}">
                  <a14:compatExt spid="_x0000_s18487"/>
                </a:ext>
                <a:ext uri="{FF2B5EF4-FFF2-40B4-BE49-F238E27FC236}">
                  <a16:creationId xmlns:a16="http://schemas.microsoft.com/office/drawing/2014/main" id="{00000000-0008-0000-1200-00003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8" name="Button 56" hidden="1">
              <a:extLst>
                <a:ext uri="{63B3BB69-23CF-44E3-9099-C40C66FF867C}">
                  <a14:compatExt spid="_x0000_s18488"/>
                </a:ext>
                <a:ext uri="{FF2B5EF4-FFF2-40B4-BE49-F238E27FC236}">
                  <a16:creationId xmlns:a16="http://schemas.microsoft.com/office/drawing/2014/main" id="{00000000-0008-0000-1200-00003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9" name="Button 57" hidden="1">
              <a:extLst>
                <a:ext uri="{63B3BB69-23CF-44E3-9099-C40C66FF867C}">
                  <a14:compatExt spid="_x0000_s18489"/>
                </a:ext>
                <a:ext uri="{FF2B5EF4-FFF2-40B4-BE49-F238E27FC236}">
                  <a16:creationId xmlns:a16="http://schemas.microsoft.com/office/drawing/2014/main" id="{00000000-0008-0000-1200-00003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90" name="Button 58" hidden="1">
              <a:extLst>
                <a:ext uri="{63B3BB69-23CF-44E3-9099-C40C66FF867C}">
                  <a14:compatExt spid="_x0000_s18490"/>
                </a:ext>
                <a:ext uri="{FF2B5EF4-FFF2-40B4-BE49-F238E27FC236}">
                  <a16:creationId xmlns:a16="http://schemas.microsoft.com/office/drawing/2014/main" id="{00000000-0008-0000-1200-00003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13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13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59" name="Button 3" hidden="1">
              <a:extLst>
                <a:ext uri="{63B3BB69-23CF-44E3-9099-C40C66FF867C}">
                  <a14:compatExt spid="_x0000_s19459"/>
                </a:ext>
                <a:ext uri="{FF2B5EF4-FFF2-40B4-BE49-F238E27FC236}">
                  <a16:creationId xmlns:a16="http://schemas.microsoft.com/office/drawing/2014/main" id="{00000000-0008-0000-1300-00000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0" name="Button 4" hidden="1">
              <a:extLst>
                <a:ext uri="{63B3BB69-23CF-44E3-9099-C40C66FF867C}">
                  <a14:compatExt spid="_x0000_s19460"/>
                </a:ext>
                <a:ext uri="{FF2B5EF4-FFF2-40B4-BE49-F238E27FC236}">
                  <a16:creationId xmlns:a16="http://schemas.microsoft.com/office/drawing/2014/main" id="{00000000-0008-0000-1300-00000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1" name="Button 5" hidden="1">
              <a:extLst>
                <a:ext uri="{63B3BB69-23CF-44E3-9099-C40C66FF867C}">
                  <a14:compatExt spid="_x0000_s19461"/>
                </a:ext>
                <a:ext uri="{FF2B5EF4-FFF2-40B4-BE49-F238E27FC236}">
                  <a16:creationId xmlns:a16="http://schemas.microsoft.com/office/drawing/2014/main" id="{00000000-0008-0000-1300-00000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2" name="Button 6" hidden="1">
              <a:extLst>
                <a:ext uri="{63B3BB69-23CF-44E3-9099-C40C66FF867C}">
                  <a14:compatExt spid="_x0000_s19462"/>
                </a:ext>
                <a:ext uri="{FF2B5EF4-FFF2-40B4-BE49-F238E27FC236}">
                  <a16:creationId xmlns:a16="http://schemas.microsoft.com/office/drawing/2014/main" id="{00000000-0008-0000-1300-00000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3" name="Button 7" hidden="1">
              <a:extLst>
                <a:ext uri="{63B3BB69-23CF-44E3-9099-C40C66FF867C}">
                  <a14:compatExt spid="_x0000_s19463"/>
                </a:ext>
                <a:ext uri="{FF2B5EF4-FFF2-40B4-BE49-F238E27FC236}">
                  <a16:creationId xmlns:a16="http://schemas.microsoft.com/office/drawing/2014/main" id="{00000000-0008-0000-1300-00000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4" name="Button 8" hidden="1">
              <a:extLst>
                <a:ext uri="{63B3BB69-23CF-44E3-9099-C40C66FF867C}">
                  <a14:compatExt spid="_x0000_s19464"/>
                </a:ext>
                <a:ext uri="{FF2B5EF4-FFF2-40B4-BE49-F238E27FC236}">
                  <a16:creationId xmlns:a16="http://schemas.microsoft.com/office/drawing/2014/main" id="{00000000-0008-0000-1300-00000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5" name="Button 9" hidden="1">
              <a:extLst>
                <a:ext uri="{63B3BB69-23CF-44E3-9099-C40C66FF867C}">
                  <a14:compatExt spid="_x0000_s19465"/>
                </a:ext>
                <a:ext uri="{FF2B5EF4-FFF2-40B4-BE49-F238E27FC236}">
                  <a16:creationId xmlns:a16="http://schemas.microsoft.com/office/drawing/2014/main" id="{00000000-0008-0000-1300-00000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6" name="Button 10" hidden="1">
              <a:extLst>
                <a:ext uri="{63B3BB69-23CF-44E3-9099-C40C66FF867C}">
                  <a14:compatExt spid="_x0000_s19466"/>
                </a:ext>
                <a:ext uri="{FF2B5EF4-FFF2-40B4-BE49-F238E27FC236}">
                  <a16:creationId xmlns:a16="http://schemas.microsoft.com/office/drawing/2014/main" id="{00000000-0008-0000-1300-00000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7" name="Button 11" hidden="1">
              <a:extLst>
                <a:ext uri="{63B3BB69-23CF-44E3-9099-C40C66FF867C}">
                  <a14:compatExt spid="_x0000_s19467"/>
                </a:ext>
                <a:ext uri="{FF2B5EF4-FFF2-40B4-BE49-F238E27FC236}">
                  <a16:creationId xmlns:a16="http://schemas.microsoft.com/office/drawing/2014/main" id="{00000000-0008-0000-1300-00000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8" name="Button 12" hidden="1">
              <a:extLst>
                <a:ext uri="{63B3BB69-23CF-44E3-9099-C40C66FF867C}">
                  <a14:compatExt spid="_x0000_s19468"/>
                </a:ext>
                <a:ext uri="{FF2B5EF4-FFF2-40B4-BE49-F238E27FC236}">
                  <a16:creationId xmlns:a16="http://schemas.microsoft.com/office/drawing/2014/main" id="{00000000-0008-0000-1300-00000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9" name="Button 13" hidden="1">
              <a:extLst>
                <a:ext uri="{63B3BB69-23CF-44E3-9099-C40C66FF867C}">
                  <a14:compatExt spid="_x0000_s19469"/>
                </a:ext>
                <a:ext uri="{FF2B5EF4-FFF2-40B4-BE49-F238E27FC236}">
                  <a16:creationId xmlns:a16="http://schemas.microsoft.com/office/drawing/2014/main" id="{00000000-0008-0000-1300-00000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70" name="Button 14" hidden="1">
              <a:extLst>
                <a:ext uri="{63B3BB69-23CF-44E3-9099-C40C66FF867C}">
                  <a14:compatExt spid="_x0000_s19470"/>
                </a:ext>
                <a:ext uri="{FF2B5EF4-FFF2-40B4-BE49-F238E27FC236}">
                  <a16:creationId xmlns:a16="http://schemas.microsoft.com/office/drawing/2014/main" id="{00000000-0008-0000-1300-00000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1" name="Button 15" hidden="1">
              <a:extLst>
                <a:ext uri="{63B3BB69-23CF-44E3-9099-C40C66FF867C}">
                  <a14:compatExt spid="_x0000_s19471"/>
                </a:ext>
                <a:ext uri="{FF2B5EF4-FFF2-40B4-BE49-F238E27FC236}">
                  <a16:creationId xmlns:a16="http://schemas.microsoft.com/office/drawing/2014/main" id="{00000000-0008-0000-1300-00000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2" name="Button 16" hidden="1">
              <a:extLst>
                <a:ext uri="{63B3BB69-23CF-44E3-9099-C40C66FF867C}">
                  <a14:compatExt spid="_x0000_s19472"/>
                </a:ext>
                <a:ext uri="{FF2B5EF4-FFF2-40B4-BE49-F238E27FC236}">
                  <a16:creationId xmlns:a16="http://schemas.microsoft.com/office/drawing/2014/main" id="{00000000-0008-0000-1300-00001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3" name="Button 17" hidden="1">
              <a:extLst>
                <a:ext uri="{63B3BB69-23CF-44E3-9099-C40C66FF867C}">
                  <a14:compatExt spid="_x0000_s19473"/>
                </a:ext>
                <a:ext uri="{FF2B5EF4-FFF2-40B4-BE49-F238E27FC236}">
                  <a16:creationId xmlns:a16="http://schemas.microsoft.com/office/drawing/2014/main" id="{00000000-0008-0000-1300-00001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4" name="Button 18" hidden="1">
              <a:extLst>
                <a:ext uri="{63B3BB69-23CF-44E3-9099-C40C66FF867C}">
                  <a14:compatExt spid="_x0000_s19474"/>
                </a:ext>
                <a:ext uri="{FF2B5EF4-FFF2-40B4-BE49-F238E27FC236}">
                  <a16:creationId xmlns:a16="http://schemas.microsoft.com/office/drawing/2014/main" id="{00000000-0008-0000-1300-00001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5" name="Button 19" hidden="1">
              <a:extLst>
                <a:ext uri="{63B3BB69-23CF-44E3-9099-C40C66FF867C}">
                  <a14:compatExt spid="_x0000_s19475"/>
                </a:ext>
                <a:ext uri="{FF2B5EF4-FFF2-40B4-BE49-F238E27FC236}">
                  <a16:creationId xmlns:a16="http://schemas.microsoft.com/office/drawing/2014/main" id="{00000000-0008-0000-1300-00001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6" name="Button 20" hidden="1">
              <a:extLst>
                <a:ext uri="{63B3BB69-23CF-44E3-9099-C40C66FF867C}">
                  <a14:compatExt spid="_x0000_s19476"/>
                </a:ext>
                <a:ext uri="{FF2B5EF4-FFF2-40B4-BE49-F238E27FC236}">
                  <a16:creationId xmlns:a16="http://schemas.microsoft.com/office/drawing/2014/main" id="{00000000-0008-0000-1300-00001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7" name="Button 21" hidden="1">
              <a:extLst>
                <a:ext uri="{63B3BB69-23CF-44E3-9099-C40C66FF867C}">
                  <a14:compatExt spid="_x0000_s19477"/>
                </a:ext>
                <a:ext uri="{FF2B5EF4-FFF2-40B4-BE49-F238E27FC236}">
                  <a16:creationId xmlns:a16="http://schemas.microsoft.com/office/drawing/2014/main" id="{00000000-0008-0000-1300-00001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8" name="Button 22" hidden="1">
              <a:extLst>
                <a:ext uri="{63B3BB69-23CF-44E3-9099-C40C66FF867C}">
                  <a14:compatExt spid="_x0000_s19478"/>
                </a:ext>
                <a:ext uri="{FF2B5EF4-FFF2-40B4-BE49-F238E27FC236}">
                  <a16:creationId xmlns:a16="http://schemas.microsoft.com/office/drawing/2014/main" id="{00000000-0008-0000-1300-00001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79" name="Button 23" hidden="1">
              <a:extLst>
                <a:ext uri="{63B3BB69-23CF-44E3-9099-C40C66FF867C}">
                  <a14:compatExt spid="_x0000_s19479"/>
                </a:ext>
                <a:ext uri="{FF2B5EF4-FFF2-40B4-BE49-F238E27FC236}">
                  <a16:creationId xmlns:a16="http://schemas.microsoft.com/office/drawing/2014/main" id="{00000000-0008-0000-1300-00001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0" name="Button 24" hidden="1">
              <a:extLst>
                <a:ext uri="{63B3BB69-23CF-44E3-9099-C40C66FF867C}">
                  <a14:compatExt spid="_x0000_s19480"/>
                </a:ext>
                <a:ext uri="{FF2B5EF4-FFF2-40B4-BE49-F238E27FC236}">
                  <a16:creationId xmlns:a16="http://schemas.microsoft.com/office/drawing/2014/main" id="{00000000-0008-0000-1300-00001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1" name="Button 25" hidden="1">
              <a:extLst>
                <a:ext uri="{63B3BB69-23CF-44E3-9099-C40C66FF867C}">
                  <a14:compatExt spid="_x0000_s19481"/>
                </a:ext>
                <a:ext uri="{FF2B5EF4-FFF2-40B4-BE49-F238E27FC236}">
                  <a16:creationId xmlns:a16="http://schemas.microsoft.com/office/drawing/2014/main" id="{00000000-0008-0000-1300-00001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2" name="Button 26" hidden="1">
              <a:extLst>
                <a:ext uri="{63B3BB69-23CF-44E3-9099-C40C66FF867C}">
                  <a14:compatExt spid="_x0000_s19482"/>
                </a:ext>
                <a:ext uri="{FF2B5EF4-FFF2-40B4-BE49-F238E27FC236}">
                  <a16:creationId xmlns:a16="http://schemas.microsoft.com/office/drawing/2014/main" id="{00000000-0008-0000-1300-00001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3" name="Button 27" hidden="1">
              <a:extLst>
                <a:ext uri="{63B3BB69-23CF-44E3-9099-C40C66FF867C}">
                  <a14:compatExt spid="_x0000_s19483"/>
                </a:ext>
                <a:ext uri="{FF2B5EF4-FFF2-40B4-BE49-F238E27FC236}">
                  <a16:creationId xmlns:a16="http://schemas.microsoft.com/office/drawing/2014/main" id="{00000000-0008-0000-1300-00001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4" name="Button 28" hidden="1">
              <a:extLst>
                <a:ext uri="{63B3BB69-23CF-44E3-9099-C40C66FF867C}">
                  <a14:compatExt spid="_x0000_s19484"/>
                </a:ext>
                <a:ext uri="{FF2B5EF4-FFF2-40B4-BE49-F238E27FC236}">
                  <a16:creationId xmlns:a16="http://schemas.microsoft.com/office/drawing/2014/main" id="{00000000-0008-0000-1300-00001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5" name="Button 29" hidden="1">
              <a:extLst>
                <a:ext uri="{63B3BB69-23CF-44E3-9099-C40C66FF867C}">
                  <a14:compatExt spid="_x0000_s19485"/>
                </a:ext>
                <a:ext uri="{FF2B5EF4-FFF2-40B4-BE49-F238E27FC236}">
                  <a16:creationId xmlns:a16="http://schemas.microsoft.com/office/drawing/2014/main" id="{00000000-0008-0000-1300-00001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6" name="Button 30" hidden="1">
              <a:extLst>
                <a:ext uri="{63B3BB69-23CF-44E3-9099-C40C66FF867C}">
                  <a14:compatExt spid="_x0000_s19486"/>
                </a:ext>
                <a:ext uri="{FF2B5EF4-FFF2-40B4-BE49-F238E27FC236}">
                  <a16:creationId xmlns:a16="http://schemas.microsoft.com/office/drawing/2014/main" id="{00000000-0008-0000-1300-00001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7" name="Button 31" hidden="1">
              <a:extLst>
                <a:ext uri="{63B3BB69-23CF-44E3-9099-C40C66FF867C}">
                  <a14:compatExt spid="_x0000_s19487"/>
                </a:ext>
                <a:ext uri="{FF2B5EF4-FFF2-40B4-BE49-F238E27FC236}">
                  <a16:creationId xmlns:a16="http://schemas.microsoft.com/office/drawing/2014/main" id="{00000000-0008-0000-1300-00001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8" name="Button 32" hidden="1">
              <a:extLst>
                <a:ext uri="{63B3BB69-23CF-44E3-9099-C40C66FF867C}">
                  <a14:compatExt spid="_x0000_s19488"/>
                </a:ext>
                <a:ext uri="{FF2B5EF4-FFF2-40B4-BE49-F238E27FC236}">
                  <a16:creationId xmlns:a16="http://schemas.microsoft.com/office/drawing/2014/main" id="{00000000-0008-0000-1300-00002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9" name="Button 33" hidden="1">
              <a:extLst>
                <a:ext uri="{63B3BB69-23CF-44E3-9099-C40C66FF867C}">
                  <a14:compatExt spid="_x0000_s19489"/>
                </a:ext>
                <a:ext uri="{FF2B5EF4-FFF2-40B4-BE49-F238E27FC236}">
                  <a16:creationId xmlns:a16="http://schemas.microsoft.com/office/drawing/2014/main" id="{00000000-0008-0000-1300-00002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90" name="Button 34" hidden="1">
              <a:extLst>
                <a:ext uri="{63B3BB69-23CF-44E3-9099-C40C66FF867C}">
                  <a14:compatExt spid="_x0000_s19490"/>
                </a:ext>
                <a:ext uri="{FF2B5EF4-FFF2-40B4-BE49-F238E27FC236}">
                  <a16:creationId xmlns:a16="http://schemas.microsoft.com/office/drawing/2014/main" id="{00000000-0008-0000-1300-00002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1" name="Button 35" hidden="1">
              <a:extLst>
                <a:ext uri="{63B3BB69-23CF-44E3-9099-C40C66FF867C}">
                  <a14:compatExt spid="_x0000_s19491"/>
                </a:ext>
                <a:ext uri="{FF2B5EF4-FFF2-40B4-BE49-F238E27FC236}">
                  <a16:creationId xmlns:a16="http://schemas.microsoft.com/office/drawing/2014/main" id="{00000000-0008-0000-1300-00002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2" name="Button 36" hidden="1">
              <a:extLst>
                <a:ext uri="{63B3BB69-23CF-44E3-9099-C40C66FF867C}">
                  <a14:compatExt spid="_x0000_s19492"/>
                </a:ext>
                <a:ext uri="{FF2B5EF4-FFF2-40B4-BE49-F238E27FC236}">
                  <a16:creationId xmlns:a16="http://schemas.microsoft.com/office/drawing/2014/main" id="{00000000-0008-0000-1300-00002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3" name="Button 37" hidden="1">
              <a:extLst>
                <a:ext uri="{63B3BB69-23CF-44E3-9099-C40C66FF867C}">
                  <a14:compatExt spid="_x0000_s19493"/>
                </a:ext>
                <a:ext uri="{FF2B5EF4-FFF2-40B4-BE49-F238E27FC236}">
                  <a16:creationId xmlns:a16="http://schemas.microsoft.com/office/drawing/2014/main" id="{00000000-0008-0000-1300-00002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4" name="Button 38" hidden="1">
              <a:extLst>
                <a:ext uri="{63B3BB69-23CF-44E3-9099-C40C66FF867C}">
                  <a14:compatExt spid="_x0000_s19494"/>
                </a:ext>
                <a:ext uri="{FF2B5EF4-FFF2-40B4-BE49-F238E27FC236}">
                  <a16:creationId xmlns:a16="http://schemas.microsoft.com/office/drawing/2014/main" id="{00000000-0008-0000-1300-00002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5" name="Button 39" hidden="1">
              <a:extLst>
                <a:ext uri="{63B3BB69-23CF-44E3-9099-C40C66FF867C}">
                  <a14:compatExt spid="_x0000_s19495"/>
                </a:ext>
                <a:ext uri="{FF2B5EF4-FFF2-40B4-BE49-F238E27FC236}">
                  <a16:creationId xmlns:a16="http://schemas.microsoft.com/office/drawing/2014/main" id="{00000000-0008-0000-1300-00002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6" name="Button 40" hidden="1">
              <a:extLst>
                <a:ext uri="{63B3BB69-23CF-44E3-9099-C40C66FF867C}">
                  <a14:compatExt spid="_x0000_s19496"/>
                </a:ext>
                <a:ext uri="{FF2B5EF4-FFF2-40B4-BE49-F238E27FC236}">
                  <a16:creationId xmlns:a16="http://schemas.microsoft.com/office/drawing/2014/main" id="{00000000-0008-0000-1300-00002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7" name="Button 41" hidden="1">
              <a:extLst>
                <a:ext uri="{63B3BB69-23CF-44E3-9099-C40C66FF867C}">
                  <a14:compatExt spid="_x0000_s19497"/>
                </a:ext>
                <a:ext uri="{FF2B5EF4-FFF2-40B4-BE49-F238E27FC236}">
                  <a16:creationId xmlns:a16="http://schemas.microsoft.com/office/drawing/2014/main" id="{00000000-0008-0000-1300-00002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8" name="Button 42" hidden="1">
              <a:extLst>
                <a:ext uri="{63B3BB69-23CF-44E3-9099-C40C66FF867C}">
                  <a14:compatExt spid="_x0000_s19498"/>
                </a:ext>
                <a:ext uri="{FF2B5EF4-FFF2-40B4-BE49-F238E27FC236}">
                  <a16:creationId xmlns:a16="http://schemas.microsoft.com/office/drawing/2014/main" id="{00000000-0008-0000-1300-00002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499" name="Button 43" hidden="1">
              <a:extLst>
                <a:ext uri="{63B3BB69-23CF-44E3-9099-C40C66FF867C}">
                  <a14:compatExt spid="_x0000_s19499"/>
                </a:ext>
                <a:ext uri="{FF2B5EF4-FFF2-40B4-BE49-F238E27FC236}">
                  <a16:creationId xmlns:a16="http://schemas.microsoft.com/office/drawing/2014/main" id="{00000000-0008-0000-1300-00002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0" name="Button 44" hidden="1">
              <a:extLst>
                <a:ext uri="{63B3BB69-23CF-44E3-9099-C40C66FF867C}">
                  <a14:compatExt spid="_x0000_s19500"/>
                </a:ext>
                <a:ext uri="{FF2B5EF4-FFF2-40B4-BE49-F238E27FC236}">
                  <a16:creationId xmlns:a16="http://schemas.microsoft.com/office/drawing/2014/main" id="{00000000-0008-0000-1300-00002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1" name="Button 45" hidden="1">
              <a:extLst>
                <a:ext uri="{63B3BB69-23CF-44E3-9099-C40C66FF867C}">
                  <a14:compatExt spid="_x0000_s19501"/>
                </a:ext>
                <a:ext uri="{FF2B5EF4-FFF2-40B4-BE49-F238E27FC236}">
                  <a16:creationId xmlns:a16="http://schemas.microsoft.com/office/drawing/2014/main" id="{00000000-0008-0000-1300-00002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2" name="Button 46" hidden="1">
              <a:extLst>
                <a:ext uri="{63B3BB69-23CF-44E3-9099-C40C66FF867C}">
                  <a14:compatExt spid="_x0000_s19502"/>
                </a:ext>
                <a:ext uri="{FF2B5EF4-FFF2-40B4-BE49-F238E27FC236}">
                  <a16:creationId xmlns:a16="http://schemas.microsoft.com/office/drawing/2014/main" id="{00000000-0008-0000-1300-00002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3" name="Button 47" hidden="1">
              <a:extLst>
                <a:ext uri="{63B3BB69-23CF-44E3-9099-C40C66FF867C}">
                  <a14:compatExt spid="_x0000_s19503"/>
                </a:ext>
                <a:ext uri="{FF2B5EF4-FFF2-40B4-BE49-F238E27FC236}">
                  <a16:creationId xmlns:a16="http://schemas.microsoft.com/office/drawing/2014/main" id="{00000000-0008-0000-1300-00002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4" name="Button 48" hidden="1">
              <a:extLst>
                <a:ext uri="{63B3BB69-23CF-44E3-9099-C40C66FF867C}">
                  <a14:compatExt spid="_x0000_s19504"/>
                </a:ext>
                <a:ext uri="{FF2B5EF4-FFF2-40B4-BE49-F238E27FC236}">
                  <a16:creationId xmlns:a16="http://schemas.microsoft.com/office/drawing/2014/main" id="{00000000-0008-0000-1300-00003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5" name="Button 49" hidden="1">
              <a:extLst>
                <a:ext uri="{63B3BB69-23CF-44E3-9099-C40C66FF867C}">
                  <a14:compatExt spid="_x0000_s19505"/>
                </a:ext>
                <a:ext uri="{FF2B5EF4-FFF2-40B4-BE49-F238E27FC236}">
                  <a16:creationId xmlns:a16="http://schemas.microsoft.com/office/drawing/2014/main" id="{00000000-0008-0000-1300-00003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6" name="Button 50" hidden="1">
              <a:extLst>
                <a:ext uri="{63B3BB69-23CF-44E3-9099-C40C66FF867C}">
                  <a14:compatExt spid="_x0000_s19506"/>
                </a:ext>
                <a:ext uri="{FF2B5EF4-FFF2-40B4-BE49-F238E27FC236}">
                  <a16:creationId xmlns:a16="http://schemas.microsoft.com/office/drawing/2014/main" id="{00000000-0008-0000-1300-00003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7" name="Button 51" hidden="1">
              <a:extLst>
                <a:ext uri="{63B3BB69-23CF-44E3-9099-C40C66FF867C}">
                  <a14:compatExt spid="_x0000_s19507"/>
                </a:ext>
                <a:ext uri="{FF2B5EF4-FFF2-40B4-BE49-F238E27FC236}">
                  <a16:creationId xmlns:a16="http://schemas.microsoft.com/office/drawing/2014/main" id="{00000000-0008-0000-1300-00003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8" name="Button 52" hidden="1">
              <a:extLst>
                <a:ext uri="{63B3BB69-23CF-44E3-9099-C40C66FF867C}">
                  <a14:compatExt spid="_x0000_s19508"/>
                </a:ext>
                <a:ext uri="{FF2B5EF4-FFF2-40B4-BE49-F238E27FC236}">
                  <a16:creationId xmlns:a16="http://schemas.microsoft.com/office/drawing/2014/main" id="{00000000-0008-0000-1300-00003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9" name="Button 53" hidden="1">
              <a:extLst>
                <a:ext uri="{63B3BB69-23CF-44E3-9099-C40C66FF867C}">
                  <a14:compatExt spid="_x0000_s19509"/>
                </a:ext>
                <a:ext uri="{FF2B5EF4-FFF2-40B4-BE49-F238E27FC236}">
                  <a16:creationId xmlns:a16="http://schemas.microsoft.com/office/drawing/2014/main" id="{00000000-0008-0000-1300-00003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10" name="Button 54" hidden="1">
              <a:extLst>
                <a:ext uri="{63B3BB69-23CF-44E3-9099-C40C66FF867C}">
                  <a14:compatExt spid="_x0000_s19510"/>
                </a:ext>
                <a:ext uri="{FF2B5EF4-FFF2-40B4-BE49-F238E27FC236}">
                  <a16:creationId xmlns:a16="http://schemas.microsoft.com/office/drawing/2014/main" id="{00000000-0008-0000-1300-00003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1" name="Button 55" hidden="1">
              <a:extLst>
                <a:ext uri="{63B3BB69-23CF-44E3-9099-C40C66FF867C}">
                  <a14:compatExt spid="_x0000_s19511"/>
                </a:ext>
                <a:ext uri="{FF2B5EF4-FFF2-40B4-BE49-F238E27FC236}">
                  <a16:creationId xmlns:a16="http://schemas.microsoft.com/office/drawing/2014/main" id="{00000000-0008-0000-1300-00003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2" name="Button 56" hidden="1">
              <a:extLst>
                <a:ext uri="{63B3BB69-23CF-44E3-9099-C40C66FF867C}">
                  <a14:compatExt spid="_x0000_s19512"/>
                </a:ext>
                <a:ext uri="{FF2B5EF4-FFF2-40B4-BE49-F238E27FC236}">
                  <a16:creationId xmlns:a16="http://schemas.microsoft.com/office/drawing/2014/main" id="{00000000-0008-0000-1300-00003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3" name="Button 57" hidden="1">
              <a:extLst>
                <a:ext uri="{63B3BB69-23CF-44E3-9099-C40C66FF867C}">
                  <a14:compatExt spid="_x0000_s19513"/>
                </a:ext>
                <a:ext uri="{FF2B5EF4-FFF2-40B4-BE49-F238E27FC236}">
                  <a16:creationId xmlns:a16="http://schemas.microsoft.com/office/drawing/2014/main" id="{00000000-0008-0000-1300-00003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4" name="Button 58" hidden="1">
              <a:extLst>
                <a:ext uri="{63B3BB69-23CF-44E3-9099-C40C66FF867C}">
                  <a14:compatExt spid="_x0000_s19514"/>
                </a:ext>
                <a:ext uri="{FF2B5EF4-FFF2-40B4-BE49-F238E27FC236}">
                  <a16:creationId xmlns:a16="http://schemas.microsoft.com/office/drawing/2014/main" id="{00000000-0008-0000-1300-00003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85</xdr:row>
          <xdr:rowOff>38100</xdr:rowOff>
        </xdr:from>
        <xdr:to>
          <xdr:col>30</xdr:col>
          <xdr:colOff>161925</xdr:colOff>
          <xdr:row>86</xdr:row>
          <xdr:rowOff>85725</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14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14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3" name="Button 3" hidden="1">
              <a:extLst>
                <a:ext uri="{63B3BB69-23CF-44E3-9099-C40C66FF867C}">
                  <a14:compatExt spid="_x0000_s20483"/>
                </a:ext>
                <a:ext uri="{FF2B5EF4-FFF2-40B4-BE49-F238E27FC236}">
                  <a16:creationId xmlns:a16="http://schemas.microsoft.com/office/drawing/2014/main" id="{00000000-0008-0000-1400-00000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4" name="Button 4" hidden="1">
              <a:extLst>
                <a:ext uri="{63B3BB69-23CF-44E3-9099-C40C66FF867C}">
                  <a14:compatExt spid="_x0000_s20484"/>
                </a:ext>
                <a:ext uri="{FF2B5EF4-FFF2-40B4-BE49-F238E27FC236}">
                  <a16:creationId xmlns:a16="http://schemas.microsoft.com/office/drawing/2014/main" id="{00000000-0008-0000-1400-00000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5" name="Button 5" hidden="1">
              <a:extLst>
                <a:ext uri="{63B3BB69-23CF-44E3-9099-C40C66FF867C}">
                  <a14:compatExt spid="_x0000_s20485"/>
                </a:ext>
                <a:ext uri="{FF2B5EF4-FFF2-40B4-BE49-F238E27FC236}">
                  <a16:creationId xmlns:a16="http://schemas.microsoft.com/office/drawing/2014/main" id="{00000000-0008-0000-1400-00000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6" name="Button 6" hidden="1">
              <a:extLst>
                <a:ext uri="{63B3BB69-23CF-44E3-9099-C40C66FF867C}">
                  <a14:compatExt spid="_x0000_s20486"/>
                </a:ext>
                <a:ext uri="{FF2B5EF4-FFF2-40B4-BE49-F238E27FC236}">
                  <a16:creationId xmlns:a16="http://schemas.microsoft.com/office/drawing/2014/main" id="{00000000-0008-0000-1400-00000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7" name="Button 7" hidden="1">
              <a:extLst>
                <a:ext uri="{63B3BB69-23CF-44E3-9099-C40C66FF867C}">
                  <a14:compatExt spid="_x0000_s20487"/>
                </a:ext>
                <a:ext uri="{FF2B5EF4-FFF2-40B4-BE49-F238E27FC236}">
                  <a16:creationId xmlns:a16="http://schemas.microsoft.com/office/drawing/2014/main" id="{00000000-0008-0000-1400-00000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8" name="Button 8" hidden="1">
              <a:extLst>
                <a:ext uri="{63B3BB69-23CF-44E3-9099-C40C66FF867C}">
                  <a14:compatExt spid="_x0000_s20488"/>
                </a:ext>
                <a:ext uri="{FF2B5EF4-FFF2-40B4-BE49-F238E27FC236}">
                  <a16:creationId xmlns:a16="http://schemas.microsoft.com/office/drawing/2014/main" id="{00000000-0008-0000-1400-00000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9" name="Button 9" hidden="1">
              <a:extLst>
                <a:ext uri="{63B3BB69-23CF-44E3-9099-C40C66FF867C}">
                  <a14:compatExt spid="_x0000_s20489"/>
                </a:ext>
                <a:ext uri="{FF2B5EF4-FFF2-40B4-BE49-F238E27FC236}">
                  <a16:creationId xmlns:a16="http://schemas.microsoft.com/office/drawing/2014/main" id="{00000000-0008-0000-1400-00000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90" name="Button 10" hidden="1">
              <a:extLst>
                <a:ext uri="{63B3BB69-23CF-44E3-9099-C40C66FF867C}">
                  <a14:compatExt spid="_x0000_s20490"/>
                </a:ext>
                <a:ext uri="{FF2B5EF4-FFF2-40B4-BE49-F238E27FC236}">
                  <a16:creationId xmlns:a16="http://schemas.microsoft.com/office/drawing/2014/main" id="{00000000-0008-0000-1400-00000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1" name="Button 11" hidden="1">
              <a:extLst>
                <a:ext uri="{63B3BB69-23CF-44E3-9099-C40C66FF867C}">
                  <a14:compatExt spid="_x0000_s20491"/>
                </a:ext>
                <a:ext uri="{FF2B5EF4-FFF2-40B4-BE49-F238E27FC236}">
                  <a16:creationId xmlns:a16="http://schemas.microsoft.com/office/drawing/2014/main" id="{00000000-0008-0000-1400-00000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2" name="Button 12" hidden="1">
              <a:extLst>
                <a:ext uri="{63B3BB69-23CF-44E3-9099-C40C66FF867C}">
                  <a14:compatExt spid="_x0000_s20492"/>
                </a:ext>
                <a:ext uri="{FF2B5EF4-FFF2-40B4-BE49-F238E27FC236}">
                  <a16:creationId xmlns:a16="http://schemas.microsoft.com/office/drawing/2014/main" id="{00000000-0008-0000-1400-00000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3" name="Button 13" hidden="1">
              <a:extLst>
                <a:ext uri="{63B3BB69-23CF-44E3-9099-C40C66FF867C}">
                  <a14:compatExt spid="_x0000_s20493"/>
                </a:ext>
                <a:ext uri="{FF2B5EF4-FFF2-40B4-BE49-F238E27FC236}">
                  <a16:creationId xmlns:a16="http://schemas.microsoft.com/office/drawing/2014/main" id="{00000000-0008-0000-1400-00000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4" name="Button 14" hidden="1">
              <a:extLst>
                <a:ext uri="{63B3BB69-23CF-44E3-9099-C40C66FF867C}">
                  <a14:compatExt spid="_x0000_s20494"/>
                </a:ext>
                <a:ext uri="{FF2B5EF4-FFF2-40B4-BE49-F238E27FC236}">
                  <a16:creationId xmlns:a16="http://schemas.microsoft.com/office/drawing/2014/main" id="{00000000-0008-0000-1400-00000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5" name="Button 15" hidden="1">
              <a:extLst>
                <a:ext uri="{63B3BB69-23CF-44E3-9099-C40C66FF867C}">
                  <a14:compatExt spid="_x0000_s20495"/>
                </a:ext>
                <a:ext uri="{FF2B5EF4-FFF2-40B4-BE49-F238E27FC236}">
                  <a16:creationId xmlns:a16="http://schemas.microsoft.com/office/drawing/2014/main" id="{00000000-0008-0000-1400-00000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6" name="Button 16" hidden="1">
              <a:extLst>
                <a:ext uri="{63B3BB69-23CF-44E3-9099-C40C66FF867C}">
                  <a14:compatExt spid="_x0000_s20496"/>
                </a:ext>
                <a:ext uri="{FF2B5EF4-FFF2-40B4-BE49-F238E27FC236}">
                  <a16:creationId xmlns:a16="http://schemas.microsoft.com/office/drawing/2014/main" id="{00000000-0008-0000-1400-00001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7" name="Button 17" hidden="1">
              <a:extLst>
                <a:ext uri="{63B3BB69-23CF-44E3-9099-C40C66FF867C}">
                  <a14:compatExt spid="_x0000_s20497"/>
                </a:ext>
                <a:ext uri="{FF2B5EF4-FFF2-40B4-BE49-F238E27FC236}">
                  <a16:creationId xmlns:a16="http://schemas.microsoft.com/office/drawing/2014/main" id="{00000000-0008-0000-1400-00001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8" name="Button 18" hidden="1">
              <a:extLst>
                <a:ext uri="{63B3BB69-23CF-44E3-9099-C40C66FF867C}">
                  <a14:compatExt spid="_x0000_s20498"/>
                </a:ext>
                <a:ext uri="{FF2B5EF4-FFF2-40B4-BE49-F238E27FC236}">
                  <a16:creationId xmlns:a16="http://schemas.microsoft.com/office/drawing/2014/main" id="{00000000-0008-0000-1400-00001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499" name="Button 19" hidden="1">
              <a:extLst>
                <a:ext uri="{63B3BB69-23CF-44E3-9099-C40C66FF867C}">
                  <a14:compatExt spid="_x0000_s20499"/>
                </a:ext>
                <a:ext uri="{FF2B5EF4-FFF2-40B4-BE49-F238E27FC236}">
                  <a16:creationId xmlns:a16="http://schemas.microsoft.com/office/drawing/2014/main" id="{00000000-0008-0000-1400-00001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0" name="Button 20" hidden="1">
              <a:extLst>
                <a:ext uri="{63B3BB69-23CF-44E3-9099-C40C66FF867C}">
                  <a14:compatExt spid="_x0000_s20500"/>
                </a:ext>
                <a:ext uri="{FF2B5EF4-FFF2-40B4-BE49-F238E27FC236}">
                  <a16:creationId xmlns:a16="http://schemas.microsoft.com/office/drawing/2014/main" id="{00000000-0008-0000-1400-00001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1" name="Button 21" hidden="1">
              <a:extLst>
                <a:ext uri="{63B3BB69-23CF-44E3-9099-C40C66FF867C}">
                  <a14:compatExt spid="_x0000_s20501"/>
                </a:ext>
                <a:ext uri="{FF2B5EF4-FFF2-40B4-BE49-F238E27FC236}">
                  <a16:creationId xmlns:a16="http://schemas.microsoft.com/office/drawing/2014/main" id="{00000000-0008-0000-1400-00001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2" name="Button 22" hidden="1">
              <a:extLst>
                <a:ext uri="{63B3BB69-23CF-44E3-9099-C40C66FF867C}">
                  <a14:compatExt spid="_x0000_s20502"/>
                </a:ext>
                <a:ext uri="{FF2B5EF4-FFF2-40B4-BE49-F238E27FC236}">
                  <a16:creationId xmlns:a16="http://schemas.microsoft.com/office/drawing/2014/main" id="{00000000-0008-0000-1400-00001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3" name="Button 23" hidden="1">
              <a:extLst>
                <a:ext uri="{63B3BB69-23CF-44E3-9099-C40C66FF867C}">
                  <a14:compatExt spid="_x0000_s20503"/>
                </a:ext>
                <a:ext uri="{FF2B5EF4-FFF2-40B4-BE49-F238E27FC236}">
                  <a16:creationId xmlns:a16="http://schemas.microsoft.com/office/drawing/2014/main" id="{00000000-0008-0000-1400-00001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4" name="Button 24" hidden="1">
              <a:extLst>
                <a:ext uri="{63B3BB69-23CF-44E3-9099-C40C66FF867C}">
                  <a14:compatExt spid="_x0000_s20504"/>
                </a:ext>
                <a:ext uri="{FF2B5EF4-FFF2-40B4-BE49-F238E27FC236}">
                  <a16:creationId xmlns:a16="http://schemas.microsoft.com/office/drawing/2014/main" id="{00000000-0008-0000-1400-00001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5" name="Button 25" hidden="1">
              <a:extLst>
                <a:ext uri="{63B3BB69-23CF-44E3-9099-C40C66FF867C}">
                  <a14:compatExt spid="_x0000_s20505"/>
                </a:ext>
                <a:ext uri="{FF2B5EF4-FFF2-40B4-BE49-F238E27FC236}">
                  <a16:creationId xmlns:a16="http://schemas.microsoft.com/office/drawing/2014/main" id="{00000000-0008-0000-1400-00001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6" name="Button 26" hidden="1">
              <a:extLst>
                <a:ext uri="{63B3BB69-23CF-44E3-9099-C40C66FF867C}">
                  <a14:compatExt spid="_x0000_s20506"/>
                </a:ext>
                <a:ext uri="{FF2B5EF4-FFF2-40B4-BE49-F238E27FC236}">
                  <a16:creationId xmlns:a16="http://schemas.microsoft.com/office/drawing/2014/main" id="{00000000-0008-0000-1400-00001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7" name="Button 27" hidden="1">
              <a:extLst>
                <a:ext uri="{63B3BB69-23CF-44E3-9099-C40C66FF867C}">
                  <a14:compatExt spid="_x0000_s20507"/>
                </a:ext>
                <a:ext uri="{FF2B5EF4-FFF2-40B4-BE49-F238E27FC236}">
                  <a16:creationId xmlns:a16="http://schemas.microsoft.com/office/drawing/2014/main" id="{00000000-0008-0000-1400-00001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8" name="Button 28" hidden="1">
              <a:extLst>
                <a:ext uri="{63B3BB69-23CF-44E3-9099-C40C66FF867C}">
                  <a14:compatExt spid="_x0000_s20508"/>
                </a:ext>
                <a:ext uri="{FF2B5EF4-FFF2-40B4-BE49-F238E27FC236}">
                  <a16:creationId xmlns:a16="http://schemas.microsoft.com/office/drawing/2014/main" id="{00000000-0008-0000-1400-00001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9" name="Button 29" hidden="1">
              <a:extLst>
                <a:ext uri="{63B3BB69-23CF-44E3-9099-C40C66FF867C}">
                  <a14:compatExt spid="_x0000_s20509"/>
                </a:ext>
                <a:ext uri="{FF2B5EF4-FFF2-40B4-BE49-F238E27FC236}">
                  <a16:creationId xmlns:a16="http://schemas.microsoft.com/office/drawing/2014/main" id="{00000000-0008-0000-1400-00001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10" name="Button 30" hidden="1">
              <a:extLst>
                <a:ext uri="{63B3BB69-23CF-44E3-9099-C40C66FF867C}">
                  <a14:compatExt spid="_x0000_s20510"/>
                </a:ext>
                <a:ext uri="{FF2B5EF4-FFF2-40B4-BE49-F238E27FC236}">
                  <a16:creationId xmlns:a16="http://schemas.microsoft.com/office/drawing/2014/main" id="{00000000-0008-0000-1400-00001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1" name="Button 31" hidden="1">
              <a:extLst>
                <a:ext uri="{63B3BB69-23CF-44E3-9099-C40C66FF867C}">
                  <a14:compatExt spid="_x0000_s20511"/>
                </a:ext>
                <a:ext uri="{FF2B5EF4-FFF2-40B4-BE49-F238E27FC236}">
                  <a16:creationId xmlns:a16="http://schemas.microsoft.com/office/drawing/2014/main" id="{00000000-0008-0000-1400-00001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2" name="Button 32" hidden="1">
              <a:extLst>
                <a:ext uri="{63B3BB69-23CF-44E3-9099-C40C66FF867C}">
                  <a14:compatExt spid="_x0000_s20512"/>
                </a:ext>
                <a:ext uri="{FF2B5EF4-FFF2-40B4-BE49-F238E27FC236}">
                  <a16:creationId xmlns:a16="http://schemas.microsoft.com/office/drawing/2014/main" id="{00000000-0008-0000-1400-00002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3" name="Button 33" hidden="1">
              <a:extLst>
                <a:ext uri="{63B3BB69-23CF-44E3-9099-C40C66FF867C}">
                  <a14:compatExt spid="_x0000_s20513"/>
                </a:ext>
                <a:ext uri="{FF2B5EF4-FFF2-40B4-BE49-F238E27FC236}">
                  <a16:creationId xmlns:a16="http://schemas.microsoft.com/office/drawing/2014/main" id="{00000000-0008-0000-1400-00002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4" name="Button 34" hidden="1">
              <a:extLst>
                <a:ext uri="{63B3BB69-23CF-44E3-9099-C40C66FF867C}">
                  <a14:compatExt spid="_x0000_s20514"/>
                </a:ext>
                <a:ext uri="{FF2B5EF4-FFF2-40B4-BE49-F238E27FC236}">
                  <a16:creationId xmlns:a16="http://schemas.microsoft.com/office/drawing/2014/main" id="{00000000-0008-0000-1400-00002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5" name="Button 35" hidden="1">
              <a:extLst>
                <a:ext uri="{63B3BB69-23CF-44E3-9099-C40C66FF867C}">
                  <a14:compatExt spid="_x0000_s20515"/>
                </a:ext>
                <a:ext uri="{FF2B5EF4-FFF2-40B4-BE49-F238E27FC236}">
                  <a16:creationId xmlns:a16="http://schemas.microsoft.com/office/drawing/2014/main" id="{00000000-0008-0000-1400-00002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6" name="Button 36" hidden="1">
              <a:extLst>
                <a:ext uri="{63B3BB69-23CF-44E3-9099-C40C66FF867C}">
                  <a14:compatExt spid="_x0000_s20516"/>
                </a:ext>
                <a:ext uri="{FF2B5EF4-FFF2-40B4-BE49-F238E27FC236}">
                  <a16:creationId xmlns:a16="http://schemas.microsoft.com/office/drawing/2014/main" id="{00000000-0008-0000-1400-00002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7" name="Button 37" hidden="1">
              <a:extLst>
                <a:ext uri="{63B3BB69-23CF-44E3-9099-C40C66FF867C}">
                  <a14:compatExt spid="_x0000_s20517"/>
                </a:ext>
                <a:ext uri="{FF2B5EF4-FFF2-40B4-BE49-F238E27FC236}">
                  <a16:creationId xmlns:a16="http://schemas.microsoft.com/office/drawing/2014/main" id="{00000000-0008-0000-1400-00002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8" name="Button 38" hidden="1">
              <a:extLst>
                <a:ext uri="{63B3BB69-23CF-44E3-9099-C40C66FF867C}">
                  <a14:compatExt spid="_x0000_s20518"/>
                </a:ext>
                <a:ext uri="{FF2B5EF4-FFF2-40B4-BE49-F238E27FC236}">
                  <a16:creationId xmlns:a16="http://schemas.microsoft.com/office/drawing/2014/main" id="{00000000-0008-0000-1400-00002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19" name="Button 39" hidden="1">
              <a:extLst>
                <a:ext uri="{63B3BB69-23CF-44E3-9099-C40C66FF867C}">
                  <a14:compatExt spid="_x0000_s20519"/>
                </a:ext>
                <a:ext uri="{FF2B5EF4-FFF2-40B4-BE49-F238E27FC236}">
                  <a16:creationId xmlns:a16="http://schemas.microsoft.com/office/drawing/2014/main" id="{00000000-0008-0000-1400-00002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0" name="Button 40" hidden="1">
              <a:extLst>
                <a:ext uri="{63B3BB69-23CF-44E3-9099-C40C66FF867C}">
                  <a14:compatExt spid="_x0000_s20520"/>
                </a:ext>
                <a:ext uri="{FF2B5EF4-FFF2-40B4-BE49-F238E27FC236}">
                  <a16:creationId xmlns:a16="http://schemas.microsoft.com/office/drawing/2014/main" id="{00000000-0008-0000-1400-00002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1" name="Button 41" hidden="1">
              <a:extLst>
                <a:ext uri="{63B3BB69-23CF-44E3-9099-C40C66FF867C}">
                  <a14:compatExt spid="_x0000_s20521"/>
                </a:ext>
                <a:ext uri="{FF2B5EF4-FFF2-40B4-BE49-F238E27FC236}">
                  <a16:creationId xmlns:a16="http://schemas.microsoft.com/office/drawing/2014/main" id="{00000000-0008-0000-1400-00002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2" name="Button 42" hidden="1">
              <a:extLst>
                <a:ext uri="{63B3BB69-23CF-44E3-9099-C40C66FF867C}">
                  <a14:compatExt spid="_x0000_s20522"/>
                </a:ext>
                <a:ext uri="{FF2B5EF4-FFF2-40B4-BE49-F238E27FC236}">
                  <a16:creationId xmlns:a16="http://schemas.microsoft.com/office/drawing/2014/main" id="{00000000-0008-0000-1400-00002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3" name="Button 43" hidden="1">
              <a:extLst>
                <a:ext uri="{63B3BB69-23CF-44E3-9099-C40C66FF867C}">
                  <a14:compatExt spid="_x0000_s20523"/>
                </a:ext>
                <a:ext uri="{FF2B5EF4-FFF2-40B4-BE49-F238E27FC236}">
                  <a16:creationId xmlns:a16="http://schemas.microsoft.com/office/drawing/2014/main" id="{00000000-0008-0000-1400-00002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4" name="Button 44" hidden="1">
              <a:extLst>
                <a:ext uri="{63B3BB69-23CF-44E3-9099-C40C66FF867C}">
                  <a14:compatExt spid="_x0000_s20524"/>
                </a:ext>
                <a:ext uri="{FF2B5EF4-FFF2-40B4-BE49-F238E27FC236}">
                  <a16:creationId xmlns:a16="http://schemas.microsoft.com/office/drawing/2014/main" id="{00000000-0008-0000-1400-00002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5" name="Button 45" hidden="1">
              <a:extLst>
                <a:ext uri="{63B3BB69-23CF-44E3-9099-C40C66FF867C}">
                  <a14:compatExt spid="_x0000_s20525"/>
                </a:ext>
                <a:ext uri="{FF2B5EF4-FFF2-40B4-BE49-F238E27FC236}">
                  <a16:creationId xmlns:a16="http://schemas.microsoft.com/office/drawing/2014/main" id="{00000000-0008-0000-1400-00002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6" name="Button 46" hidden="1">
              <a:extLst>
                <a:ext uri="{63B3BB69-23CF-44E3-9099-C40C66FF867C}">
                  <a14:compatExt spid="_x0000_s20526"/>
                </a:ext>
                <a:ext uri="{FF2B5EF4-FFF2-40B4-BE49-F238E27FC236}">
                  <a16:creationId xmlns:a16="http://schemas.microsoft.com/office/drawing/2014/main" id="{00000000-0008-0000-1400-00002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7" name="Button 47" hidden="1">
              <a:extLst>
                <a:ext uri="{63B3BB69-23CF-44E3-9099-C40C66FF867C}">
                  <a14:compatExt spid="_x0000_s20527"/>
                </a:ext>
                <a:ext uri="{FF2B5EF4-FFF2-40B4-BE49-F238E27FC236}">
                  <a16:creationId xmlns:a16="http://schemas.microsoft.com/office/drawing/2014/main" id="{00000000-0008-0000-1400-00002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8" name="Button 48" hidden="1">
              <a:extLst>
                <a:ext uri="{63B3BB69-23CF-44E3-9099-C40C66FF867C}">
                  <a14:compatExt spid="_x0000_s20528"/>
                </a:ext>
                <a:ext uri="{FF2B5EF4-FFF2-40B4-BE49-F238E27FC236}">
                  <a16:creationId xmlns:a16="http://schemas.microsoft.com/office/drawing/2014/main" id="{00000000-0008-0000-1400-00003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9" name="Button 49" hidden="1">
              <a:extLst>
                <a:ext uri="{63B3BB69-23CF-44E3-9099-C40C66FF867C}">
                  <a14:compatExt spid="_x0000_s20529"/>
                </a:ext>
                <a:ext uri="{FF2B5EF4-FFF2-40B4-BE49-F238E27FC236}">
                  <a16:creationId xmlns:a16="http://schemas.microsoft.com/office/drawing/2014/main" id="{00000000-0008-0000-1400-00003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30" name="Button 50" hidden="1">
              <a:extLst>
                <a:ext uri="{63B3BB69-23CF-44E3-9099-C40C66FF867C}">
                  <a14:compatExt spid="_x0000_s20530"/>
                </a:ext>
                <a:ext uri="{FF2B5EF4-FFF2-40B4-BE49-F238E27FC236}">
                  <a16:creationId xmlns:a16="http://schemas.microsoft.com/office/drawing/2014/main" id="{00000000-0008-0000-1400-00003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1" name="Button 51" hidden="1">
              <a:extLst>
                <a:ext uri="{63B3BB69-23CF-44E3-9099-C40C66FF867C}">
                  <a14:compatExt spid="_x0000_s20531"/>
                </a:ext>
                <a:ext uri="{FF2B5EF4-FFF2-40B4-BE49-F238E27FC236}">
                  <a16:creationId xmlns:a16="http://schemas.microsoft.com/office/drawing/2014/main" id="{00000000-0008-0000-1400-00003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2" name="Button 52" hidden="1">
              <a:extLst>
                <a:ext uri="{63B3BB69-23CF-44E3-9099-C40C66FF867C}">
                  <a14:compatExt spid="_x0000_s20532"/>
                </a:ext>
                <a:ext uri="{FF2B5EF4-FFF2-40B4-BE49-F238E27FC236}">
                  <a16:creationId xmlns:a16="http://schemas.microsoft.com/office/drawing/2014/main" id="{00000000-0008-0000-1400-00003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3" name="Button 53" hidden="1">
              <a:extLst>
                <a:ext uri="{63B3BB69-23CF-44E3-9099-C40C66FF867C}">
                  <a14:compatExt spid="_x0000_s20533"/>
                </a:ext>
                <a:ext uri="{FF2B5EF4-FFF2-40B4-BE49-F238E27FC236}">
                  <a16:creationId xmlns:a16="http://schemas.microsoft.com/office/drawing/2014/main" id="{00000000-0008-0000-1400-00003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4" name="Button 54" hidden="1">
              <a:extLst>
                <a:ext uri="{63B3BB69-23CF-44E3-9099-C40C66FF867C}">
                  <a14:compatExt spid="_x0000_s20534"/>
                </a:ext>
                <a:ext uri="{FF2B5EF4-FFF2-40B4-BE49-F238E27FC236}">
                  <a16:creationId xmlns:a16="http://schemas.microsoft.com/office/drawing/2014/main" id="{00000000-0008-0000-1400-00003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5" name="Button 55" hidden="1">
              <a:extLst>
                <a:ext uri="{63B3BB69-23CF-44E3-9099-C40C66FF867C}">
                  <a14:compatExt spid="_x0000_s20535"/>
                </a:ext>
                <a:ext uri="{FF2B5EF4-FFF2-40B4-BE49-F238E27FC236}">
                  <a16:creationId xmlns:a16="http://schemas.microsoft.com/office/drawing/2014/main" id="{00000000-0008-0000-1400-00003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6" name="Button 56" hidden="1">
              <a:extLst>
                <a:ext uri="{63B3BB69-23CF-44E3-9099-C40C66FF867C}">
                  <a14:compatExt spid="_x0000_s20536"/>
                </a:ext>
                <a:ext uri="{FF2B5EF4-FFF2-40B4-BE49-F238E27FC236}">
                  <a16:creationId xmlns:a16="http://schemas.microsoft.com/office/drawing/2014/main" id="{00000000-0008-0000-1400-00003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7" name="Button 57" hidden="1">
              <a:extLst>
                <a:ext uri="{63B3BB69-23CF-44E3-9099-C40C66FF867C}">
                  <a14:compatExt spid="_x0000_s20537"/>
                </a:ext>
                <a:ext uri="{FF2B5EF4-FFF2-40B4-BE49-F238E27FC236}">
                  <a16:creationId xmlns:a16="http://schemas.microsoft.com/office/drawing/2014/main" id="{00000000-0008-0000-1400-00003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8" name="Button 58" hidden="1">
              <a:extLst>
                <a:ext uri="{63B3BB69-23CF-44E3-9099-C40C66FF867C}">
                  <a14:compatExt spid="_x0000_s20538"/>
                </a:ext>
                <a:ext uri="{FF2B5EF4-FFF2-40B4-BE49-F238E27FC236}">
                  <a16:creationId xmlns:a16="http://schemas.microsoft.com/office/drawing/2014/main" id="{00000000-0008-0000-1400-00003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2769" name="Button 1" hidden="1">
              <a:extLst>
                <a:ext uri="{63B3BB69-23CF-44E3-9099-C40C66FF867C}">
                  <a14:compatExt spid="_x0000_s32769"/>
                </a:ext>
                <a:ext uri="{FF2B5EF4-FFF2-40B4-BE49-F238E27FC236}">
                  <a16:creationId xmlns:a16="http://schemas.microsoft.com/office/drawing/2014/main" id="{00000000-0008-0000-1500-00000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104775</xdr:rowOff>
        </xdr:to>
        <xdr:sp macro="" textlink="">
          <xdr:nvSpPr>
            <xdr:cNvPr id="32770" name="Button 2" hidden="1">
              <a:extLst>
                <a:ext uri="{63B3BB69-23CF-44E3-9099-C40C66FF867C}">
                  <a14:compatExt spid="_x0000_s32770"/>
                </a:ext>
                <a:ext uri="{FF2B5EF4-FFF2-40B4-BE49-F238E27FC236}">
                  <a16:creationId xmlns:a16="http://schemas.microsoft.com/office/drawing/2014/main" id="{00000000-0008-0000-1500-00000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1" name="Button 3" hidden="1">
              <a:extLst>
                <a:ext uri="{63B3BB69-23CF-44E3-9099-C40C66FF867C}">
                  <a14:compatExt spid="_x0000_s32771"/>
                </a:ext>
                <a:ext uri="{FF2B5EF4-FFF2-40B4-BE49-F238E27FC236}">
                  <a16:creationId xmlns:a16="http://schemas.microsoft.com/office/drawing/2014/main" id="{00000000-0008-0000-1500-00000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2" name="Button 4" hidden="1">
              <a:extLst>
                <a:ext uri="{63B3BB69-23CF-44E3-9099-C40C66FF867C}">
                  <a14:compatExt spid="_x0000_s32772"/>
                </a:ext>
                <a:ext uri="{FF2B5EF4-FFF2-40B4-BE49-F238E27FC236}">
                  <a16:creationId xmlns:a16="http://schemas.microsoft.com/office/drawing/2014/main" id="{00000000-0008-0000-1500-00000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3" name="Button 5" hidden="1">
              <a:extLst>
                <a:ext uri="{63B3BB69-23CF-44E3-9099-C40C66FF867C}">
                  <a14:compatExt spid="_x0000_s32773"/>
                </a:ext>
                <a:ext uri="{FF2B5EF4-FFF2-40B4-BE49-F238E27FC236}">
                  <a16:creationId xmlns:a16="http://schemas.microsoft.com/office/drawing/2014/main" id="{00000000-0008-0000-1500-00000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4" name="Button 6" hidden="1">
              <a:extLst>
                <a:ext uri="{63B3BB69-23CF-44E3-9099-C40C66FF867C}">
                  <a14:compatExt spid="_x0000_s32774"/>
                </a:ext>
                <a:ext uri="{FF2B5EF4-FFF2-40B4-BE49-F238E27FC236}">
                  <a16:creationId xmlns:a16="http://schemas.microsoft.com/office/drawing/2014/main" id="{00000000-0008-0000-1500-00000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5" name="Button 7" hidden="1">
              <a:extLst>
                <a:ext uri="{63B3BB69-23CF-44E3-9099-C40C66FF867C}">
                  <a14:compatExt spid="_x0000_s32775"/>
                </a:ext>
                <a:ext uri="{FF2B5EF4-FFF2-40B4-BE49-F238E27FC236}">
                  <a16:creationId xmlns:a16="http://schemas.microsoft.com/office/drawing/2014/main" id="{00000000-0008-0000-1500-00000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6" name="Button 8" hidden="1">
              <a:extLst>
                <a:ext uri="{63B3BB69-23CF-44E3-9099-C40C66FF867C}">
                  <a14:compatExt spid="_x0000_s32776"/>
                </a:ext>
                <a:ext uri="{FF2B5EF4-FFF2-40B4-BE49-F238E27FC236}">
                  <a16:creationId xmlns:a16="http://schemas.microsoft.com/office/drawing/2014/main" id="{00000000-0008-0000-1500-00000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7" name="Button 9" hidden="1">
              <a:extLst>
                <a:ext uri="{63B3BB69-23CF-44E3-9099-C40C66FF867C}">
                  <a14:compatExt spid="_x0000_s32777"/>
                </a:ext>
                <a:ext uri="{FF2B5EF4-FFF2-40B4-BE49-F238E27FC236}">
                  <a16:creationId xmlns:a16="http://schemas.microsoft.com/office/drawing/2014/main" id="{00000000-0008-0000-1500-00000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8" name="Button 10" hidden="1">
              <a:extLst>
                <a:ext uri="{63B3BB69-23CF-44E3-9099-C40C66FF867C}">
                  <a14:compatExt spid="_x0000_s32778"/>
                </a:ext>
                <a:ext uri="{FF2B5EF4-FFF2-40B4-BE49-F238E27FC236}">
                  <a16:creationId xmlns:a16="http://schemas.microsoft.com/office/drawing/2014/main" id="{00000000-0008-0000-1500-00000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79" name="Button 11" hidden="1">
              <a:extLst>
                <a:ext uri="{63B3BB69-23CF-44E3-9099-C40C66FF867C}">
                  <a14:compatExt spid="_x0000_s32779"/>
                </a:ext>
                <a:ext uri="{FF2B5EF4-FFF2-40B4-BE49-F238E27FC236}">
                  <a16:creationId xmlns:a16="http://schemas.microsoft.com/office/drawing/2014/main" id="{00000000-0008-0000-1500-00000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0" name="Button 12" hidden="1">
              <a:extLst>
                <a:ext uri="{63B3BB69-23CF-44E3-9099-C40C66FF867C}">
                  <a14:compatExt spid="_x0000_s32780"/>
                </a:ext>
                <a:ext uri="{FF2B5EF4-FFF2-40B4-BE49-F238E27FC236}">
                  <a16:creationId xmlns:a16="http://schemas.microsoft.com/office/drawing/2014/main" id="{00000000-0008-0000-1500-00000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1" name="Button 13" hidden="1">
              <a:extLst>
                <a:ext uri="{63B3BB69-23CF-44E3-9099-C40C66FF867C}">
                  <a14:compatExt spid="_x0000_s32781"/>
                </a:ext>
                <a:ext uri="{FF2B5EF4-FFF2-40B4-BE49-F238E27FC236}">
                  <a16:creationId xmlns:a16="http://schemas.microsoft.com/office/drawing/2014/main" id="{00000000-0008-0000-1500-00000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2" name="Button 14" hidden="1">
              <a:extLst>
                <a:ext uri="{63B3BB69-23CF-44E3-9099-C40C66FF867C}">
                  <a14:compatExt spid="_x0000_s32782"/>
                </a:ext>
                <a:ext uri="{FF2B5EF4-FFF2-40B4-BE49-F238E27FC236}">
                  <a16:creationId xmlns:a16="http://schemas.microsoft.com/office/drawing/2014/main" id="{00000000-0008-0000-1500-00000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3" name="Button 15" hidden="1">
              <a:extLst>
                <a:ext uri="{63B3BB69-23CF-44E3-9099-C40C66FF867C}">
                  <a14:compatExt spid="_x0000_s32783"/>
                </a:ext>
                <a:ext uri="{FF2B5EF4-FFF2-40B4-BE49-F238E27FC236}">
                  <a16:creationId xmlns:a16="http://schemas.microsoft.com/office/drawing/2014/main" id="{00000000-0008-0000-1500-00000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4" name="Button 16" hidden="1">
              <a:extLst>
                <a:ext uri="{63B3BB69-23CF-44E3-9099-C40C66FF867C}">
                  <a14:compatExt spid="_x0000_s32784"/>
                </a:ext>
                <a:ext uri="{FF2B5EF4-FFF2-40B4-BE49-F238E27FC236}">
                  <a16:creationId xmlns:a16="http://schemas.microsoft.com/office/drawing/2014/main" id="{00000000-0008-0000-1500-00001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5" name="Button 17" hidden="1">
              <a:extLst>
                <a:ext uri="{63B3BB69-23CF-44E3-9099-C40C66FF867C}">
                  <a14:compatExt spid="_x0000_s32785"/>
                </a:ext>
                <a:ext uri="{FF2B5EF4-FFF2-40B4-BE49-F238E27FC236}">
                  <a16:creationId xmlns:a16="http://schemas.microsoft.com/office/drawing/2014/main" id="{00000000-0008-0000-1500-00001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6" name="Button 18" hidden="1">
              <a:extLst>
                <a:ext uri="{63B3BB69-23CF-44E3-9099-C40C66FF867C}">
                  <a14:compatExt spid="_x0000_s32786"/>
                </a:ext>
                <a:ext uri="{FF2B5EF4-FFF2-40B4-BE49-F238E27FC236}">
                  <a16:creationId xmlns:a16="http://schemas.microsoft.com/office/drawing/2014/main" id="{00000000-0008-0000-1500-00001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7" name="Button 19" hidden="1">
              <a:extLst>
                <a:ext uri="{63B3BB69-23CF-44E3-9099-C40C66FF867C}">
                  <a14:compatExt spid="_x0000_s32787"/>
                </a:ext>
                <a:ext uri="{FF2B5EF4-FFF2-40B4-BE49-F238E27FC236}">
                  <a16:creationId xmlns:a16="http://schemas.microsoft.com/office/drawing/2014/main" id="{00000000-0008-0000-1500-00001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8" name="Button 20" hidden="1">
              <a:extLst>
                <a:ext uri="{63B3BB69-23CF-44E3-9099-C40C66FF867C}">
                  <a14:compatExt spid="_x0000_s32788"/>
                </a:ext>
                <a:ext uri="{FF2B5EF4-FFF2-40B4-BE49-F238E27FC236}">
                  <a16:creationId xmlns:a16="http://schemas.microsoft.com/office/drawing/2014/main" id="{00000000-0008-0000-1500-00001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9" name="Button 21" hidden="1">
              <a:extLst>
                <a:ext uri="{63B3BB69-23CF-44E3-9099-C40C66FF867C}">
                  <a14:compatExt spid="_x0000_s32789"/>
                </a:ext>
                <a:ext uri="{FF2B5EF4-FFF2-40B4-BE49-F238E27FC236}">
                  <a16:creationId xmlns:a16="http://schemas.microsoft.com/office/drawing/2014/main" id="{00000000-0008-0000-1500-00001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90" name="Button 22" hidden="1">
              <a:extLst>
                <a:ext uri="{63B3BB69-23CF-44E3-9099-C40C66FF867C}">
                  <a14:compatExt spid="_x0000_s32790"/>
                </a:ext>
                <a:ext uri="{FF2B5EF4-FFF2-40B4-BE49-F238E27FC236}">
                  <a16:creationId xmlns:a16="http://schemas.microsoft.com/office/drawing/2014/main" id="{00000000-0008-0000-1500-00001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1" name="Button 23" hidden="1">
              <a:extLst>
                <a:ext uri="{63B3BB69-23CF-44E3-9099-C40C66FF867C}">
                  <a14:compatExt spid="_x0000_s32791"/>
                </a:ext>
                <a:ext uri="{FF2B5EF4-FFF2-40B4-BE49-F238E27FC236}">
                  <a16:creationId xmlns:a16="http://schemas.microsoft.com/office/drawing/2014/main" id="{00000000-0008-0000-1500-00001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2" name="Button 24" hidden="1">
              <a:extLst>
                <a:ext uri="{63B3BB69-23CF-44E3-9099-C40C66FF867C}">
                  <a14:compatExt spid="_x0000_s32792"/>
                </a:ext>
                <a:ext uri="{FF2B5EF4-FFF2-40B4-BE49-F238E27FC236}">
                  <a16:creationId xmlns:a16="http://schemas.microsoft.com/office/drawing/2014/main" id="{00000000-0008-0000-1500-00001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3" name="Button 25" hidden="1">
              <a:extLst>
                <a:ext uri="{63B3BB69-23CF-44E3-9099-C40C66FF867C}">
                  <a14:compatExt spid="_x0000_s32793"/>
                </a:ext>
                <a:ext uri="{FF2B5EF4-FFF2-40B4-BE49-F238E27FC236}">
                  <a16:creationId xmlns:a16="http://schemas.microsoft.com/office/drawing/2014/main" id="{00000000-0008-0000-1500-00001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4" name="Button 26" hidden="1">
              <a:extLst>
                <a:ext uri="{63B3BB69-23CF-44E3-9099-C40C66FF867C}">
                  <a14:compatExt spid="_x0000_s32794"/>
                </a:ext>
                <a:ext uri="{FF2B5EF4-FFF2-40B4-BE49-F238E27FC236}">
                  <a16:creationId xmlns:a16="http://schemas.microsoft.com/office/drawing/2014/main" id="{00000000-0008-0000-1500-00001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5" name="Button 27" hidden="1">
              <a:extLst>
                <a:ext uri="{63B3BB69-23CF-44E3-9099-C40C66FF867C}">
                  <a14:compatExt spid="_x0000_s32795"/>
                </a:ext>
                <a:ext uri="{FF2B5EF4-FFF2-40B4-BE49-F238E27FC236}">
                  <a16:creationId xmlns:a16="http://schemas.microsoft.com/office/drawing/2014/main" id="{00000000-0008-0000-1500-00001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6" name="Button 28" hidden="1">
              <a:extLst>
                <a:ext uri="{63B3BB69-23CF-44E3-9099-C40C66FF867C}">
                  <a14:compatExt spid="_x0000_s32796"/>
                </a:ext>
                <a:ext uri="{FF2B5EF4-FFF2-40B4-BE49-F238E27FC236}">
                  <a16:creationId xmlns:a16="http://schemas.microsoft.com/office/drawing/2014/main" id="{00000000-0008-0000-1500-00001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7" name="Button 29" hidden="1">
              <a:extLst>
                <a:ext uri="{63B3BB69-23CF-44E3-9099-C40C66FF867C}">
                  <a14:compatExt spid="_x0000_s32797"/>
                </a:ext>
                <a:ext uri="{FF2B5EF4-FFF2-40B4-BE49-F238E27FC236}">
                  <a16:creationId xmlns:a16="http://schemas.microsoft.com/office/drawing/2014/main" id="{00000000-0008-0000-1500-00001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8" name="Button 30" hidden="1">
              <a:extLst>
                <a:ext uri="{63B3BB69-23CF-44E3-9099-C40C66FF867C}">
                  <a14:compatExt spid="_x0000_s32798"/>
                </a:ext>
                <a:ext uri="{FF2B5EF4-FFF2-40B4-BE49-F238E27FC236}">
                  <a16:creationId xmlns:a16="http://schemas.microsoft.com/office/drawing/2014/main" id="{00000000-0008-0000-1500-00001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799" name="Button 31" hidden="1">
              <a:extLst>
                <a:ext uri="{63B3BB69-23CF-44E3-9099-C40C66FF867C}">
                  <a14:compatExt spid="_x0000_s32799"/>
                </a:ext>
                <a:ext uri="{FF2B5EF4-FFF2-40B4-BE49-F238E27FC236}">
                  <a16:creationId xmlns:a16="http://schemas.microsoft.com/office/drawing/2014/main" id="{00000000-0008-0000-1500-00001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0" name="Button 32" hidden="1">
              <a:extLst>
                <a:ext uri="{63B3BB69-23CF-44E3-9099-C40C66FF867C}">
                  <a14:compatExt spid="_x0000_s32800"/>
                </a:ext>
                <a:ext uri="{FF2B5EF4-FFF2-40B4-BE49-F238E27FC236}">
                  <a16:creationId xmlns:a16="http://schemas.microsoft.com/office/drawing/2014/main" id="{00000000-0008-0000-1500-00002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1" name="Button 33" hidden="1">
              <a:extLst>
                <a:ext uri="{63B3BB69-23CF-44E3-9099-C40C66FF867C}">
                  <a14:compatExt spid="_x0000_s32801"/>
                </a:ext>
                <a:ext uri="{FF2B5EF4-FFF2-40B4-BE49-F238E27FC236}">
                  <a16:creationId xmlns:a16="http://schemas.microsoft.com/office/drawing/2014/main" id="{00000000-0008-0000-1500-00002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2" name="Button 34" hidden="1">
              <a:extLst>
                <a:ext uri="{63B3BB69-23CF-44E3-9099-C40C66FF867C}">
                  <a14:compatExt spid="_x0000_s32802"/>
                </a:ext>
                <a:ext uri="{FF2B5EF4-FFF2-40B4-BE49-F238E27FC236}">
                  <a16:creationId xmlns:a16="http://schemas.microsoft.com/office/drawing/2014/main" id="{00000000-0008-0000-1500-00002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3" name="Button 35" hidden="1">
              <a:extLst>
                <a:ext uri="{63B3BB69-23CF-44E3-9099-C40C66FF867C}">
                  <a14:compatExt spid="_x0000_s32803"/>
                </a:ext>
                <a:ext uri="{FF2B5EF4-FFF2-40B4-BE49-F238E27FC236}">
                  <a16:creationId xmlns:a16="http://schemas.microsoft.com/office/drawing/2014/main" id="{00000000-0008-0000-1500-00002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4" name="Button 36" hidden="1">
              <a:extLst>
                <a:ext uri="{63B3BB69-23CF-44E3-9099-C40C66FF867C}">
                  <a14:compatExt spid="_x0000_s32804"/>
                </a:ext>
                <a:ext uri="{FF2B5EF4-FFF2-40B4-BE49-F238E27FC236}">
                  <a16:creationId xmlns:a16="http://schemas.microsoft.com/office/drawing/2014/main" id="{00000000-0008-0000-1500-00002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5" name="Button 37" hidden="1">
              <a:extLst>
                <a:ext uri="{63B3BB69-23CF-44E3-9099-C40C66FF867C}">
                  <a14:compatExt spid="_x0000_s32805"/>
                </a:ext>
                <a:ext uri="{FF2B5EF4-FFF2-40B4-BE49-F238E27FC236}">
                  <a16:creationId xmlns:a16="http://schemas.microsoft.com/office/drawing/2014/main" id="{00000000-0008-0000-1500-00002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6" name="Button 38" hidden="1">
              <a:extLst>
                <a:ext uri="{63B3BB69-23CF-44E3-9099-C40C66FF867C}">
                  <a14:compatExt spid="_x0000_s32806"/>
                </a:ext>
                <a:ext uri="{FF2B5EF4-FFF2-40B4-BE49-F238E27FC236}">
                  <a16:creationId xmlns:a16="http://schemas.microsoft.com/office/drawing/2014/main" id="{00000000-0008-0000-1500-00002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7" name="Button 39" hidden="1">
              <a:extLst>
                <a:ext uri="{63B3BB69-23CF-44E3-9099-C40C66FF867C}">
                  <a14:compatExt spid="_x0000_s32807"/>
                </a:ext>
                <a:ext uri="{FF2B5EF4-FFF2-40B4-BE49-F238E27FC236}">
                  <a16:creationId xmlns:a16="http://schemas.microsoft.com/office/drawing/2014/main" id="{00000000-0008-0000-1500-00002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8" name="Button 40" hidden="1">
              <a:extLst>
                <a:ext uri="{63B3BB69-23CF-44E3-9099-C40C66FF867C}">
                  <a14:compatExt spid="_x0000_s32808"/>
                </a:ext>
                <a:ext uri="{FF2B5EF4-FFF2-40B4-BE49-F238E27FC236}">
                  <a16:creationId xmlns:a16="http://schemas.microsoft.com/office/drawing/2014/main" id="{00000000-0008-0000-1500-00002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9" name="Button 41" hidden="1">
              <a:extLst>
                <a:ext uri="{63B3BB69-23CF-44E3-9099-C40C66FF867C}">
                  <a14:compatExt spid="_x0000_s32809"/>
                </a:ext>
                <a:ext uri="{FF2B5EF4-FFF2-40B4-BE49-F238E27FC236}">
                  <a16:creationId xmlns:a16="http://schemas.microsoft.com/office/drawing/2014/main" id="{00000000-0008-0000-1500-00002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10" name="Button 42" hidden="1">
              <a:extLst>
                <a:ext uri="{63B3BB69-23CF-44E3-9099-C40C66FF867C}">
                  <a14:compatExt spid="_x0000_s32810"/>
                </a:ext>
                <a:ext uri="{FF2B5EF4-FFF2-40B4-BE49-F238E27FC236}">
                  <a16:creationId xmlns:a16="http://schemas.microsoft.com/office/drawing/2014/main" id="{00000000-0008-0000-1500-00002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1" name="Button 43" hidden="1">
              <a:extLst>
                <a:ext uri="{63B3BB69-23CF-44E3-9099-C40C66FF867C}">
                  <a14:compatExt spid="_x0000_s32811"/>
                </a:ext>
                <a:ext uri="{FF2B5EF4-FFF2-40B4-BE49-F238E27FC236}">
                  <a16:creationId xmlns:a16="http://schemas.microsoft.com/office/drawing/2014/main" id="{00000000-0008-0000-1500-00002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2" name="Button 44" hidden="1">
              <a:extLst>
                <a:ext uri="{63B3BB69-23CF-44E3-9099-C40C66FF867C}">
                  <a14:compatExt spid="_x0000_s32812"/>
                </a:ext>
                <a:ext uri="{FF2B5EF4-FFF2-40B4-BE49-F238E27FC236}">
                  <a16:creationId xmlns:a16="http://schemas.microsoft.com/office/drawing/2014/main" id="{00000000-0008-0000-1500-00002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3" name="Button 45" hidden="1">
              <a:extLst>
                <a:ext uri="{63B3BB69-23CF-44E3-9099-C40C66FF867C}">
                  <a14:compatExt spid="_x0000_s32813"/>
                </a:ext>
                <a:ext uri="{FF2B5EF4-FFF2-40B4-BE49-F238E27FC236}">
                  <a16:creationId xmlns:a16="http://schemas.microsoft.com/office/drawing/2014/main" id="{00000000-0008-0000-1500-00002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4" name="Button 46" hidden="1">
              <a:extLst>
                <a:ext uri="{63B3BB69-23CF-44E3-9099-C40C66FF867C}">
                  <a14:compatExt spid="_x0000_s32814"/>
                </a:ext>
                <a:ext uri="{FF2B5EF4-FFF2-40B4-BE49-F238E27FC236}">
                  <a16:creationId xmlns:a16="http://schemas.microsoft.com/office/drawing/2014/main" id="{00000000-0008-0000-1500-00002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5" name="Button 47" hidden="1">
              <a:extLst>
                <a:ext uri="{63B3BB69-23CF-44E3-9099-C40C66FF867C}">
                  <a14:compatExt spid="_x0000_s32815"/>
                </a:ext>
                <a:ext uri="{FF2B5EF4-FFF2-40B4-BE49-F238E27FC236}">
                  <a16:creationId xmlns:a16="http://schemas.microsoft.com/office/drawing/2014/main" id="{00000000-0008-0000-1500-00002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6" name="Button 48" hidden="1">
              <a:extLst>
                <a:ext uri="{63B3BB69-23CF-44E3-9099-C40C66FF867C}">
                  <a14:compatExt spid="_x0000_s32816"/>
                </a:ext>
                <a:ext uri="{FF2B5EF4-FFF2-40B4-BE49-F238E27FC236}">
                  <a16:creationId xmlns:a16="http://schemas.microsoft.com/office/drawing/2014/main" id="{00000000-0008-0000-1500-00003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7" name="Button 49" hidden="1">
              <a:extLst>
                <a:ext uri="{63B3BB69-23CF-44E3-9099-C40C66FF867C}">
                  <a14:compatExt spid="_x0000_s32817"/>
                </a:ext>
                <a:ext uri="{FF2B5EF4-FFF2-40B4-BE49-F238E27FC236}">
                  <a16:creationId xmlns:a16="http://schemas.microsoft.com/office/drawing/2014/main" id="{00000000-0008-0000-1500-00003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8" name="Button 50" hidden="1">
              <a:extLst>
                <a:ext uri="{63B3BB69-23CF-44E3-9099-C40C66FF867C}">
                  <a14:compatExt spid="_x0000_s32818"/>
                </a:ext>
                <a:ext uri="{FF2B5EF4-FFF2-40B4-BE49-F238E27FC236}">
                  <a16:creationId xmlns:a16="http://schemas.microsoft.com/office/drawing/2014/main" id="{00000000-0008-0000-1500-00003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19" name="Button 51" hidden="1">
              <a:extLst>
                <a:ext uri="{63B3BB69-23CF-44E3-9099-C40C66FF867C}">
                  <a14:compatExt spid="_x0000_s32819"/>
                </a:ext>
                <a:ext uri="{FF2B5EF4-FFF2-40B4-BE49-F238E27FC236}">
                  <a16:creationId xmlns:a16="http://schemas.microsoft.com/office/drawing/2014/main" id="{00000000-0008-0000-1500-00003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0" name="Button 52" hidden="1">
              <a:extLst>
                <a:ext uri="{63B3BB69-23CF-44E3-9099-C40C66FF867C}">
                  <a14:compatExt spid="_x0000_s32820"/>
                </a:ext>
                <a:ext uri="{FF2B5EF4-FFF2-40B4-BE49-F238E27FC236}">
                  <a16:creationId xmlns:a16="http://schemas.microsoft.com/office/drawing/2014/main" id="{00000000-0008-0000-1500-00003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1" name="Button 53" hidden="1">
              <a:extLst>
                <a:ext uri="{63B3BB69-23CF-44E3-9099-C40C66FF867C}">
                  <a14:compatExt spid="_x0000_s32821"/>
                </a:ext>
                <a:ext uri="{FF2B5EF4-FFF2-40B4-BE49-F238E27FC236}">
                  <a16:creationId xmlns:a16="http://schemas.microsoft.com/office/drawing/2014/main" id="{00000000-0008-0000-1500-00003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2" name="Button 54" hidden="1">
              <a:extLst>
                <a:ext uri="{63B3BB69-23CF-44E3-9099-C40C66FF867C}">
                  <a14:compatExt spid="_x0000_s32822"/>
                </a:ext>
                <a:ext uri="{FF2B5EF4-FFF2-40B4-BE49-F238E27FC236}">
                  <a16:creationId xmlns:a16="http://schemas.microsoft.com/office/drawing/2014/main" id="{00000000-0008-0000-1500-00003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3" name="Button 55" hidden="1">
              <a:extLst>
                <a:ext uri="{63B3BB69-23CF-44E3-9099-C40C66FF867C}">
                  <a14:compatExt spid="_x0000_s32823"/>
                </a:ext>
                <a:ext uri="{FF2B5EF4-FFF2-40B4-BE49-F238E27FC236}">
                  <a16:creationId xmlns:a16="http://schemas.microsoft.com/office/drawing/2014/main" id="{00000000-0008-0000-1500-00003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4" name="Button 56" hidden="1">
              <a:extLst>
                <a:ext uri="{63B3BB69-23CF-44E3-9099-C40C66FF867C}">
                  <a14:compatExt spid="_x0000_s32824"/>
                </a:ext>
                <a:ext uri="{FF2B5EF4-FFF2-40B4-BE49-F238E27FC236}">
                  <a16:creationId xmlns:a16="http://schemas.microsoft.com/office/drawing/2014/main" id="{00000000-0008-0000-1500-00003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5" name="Button 57" hidden="1">
              <a:extLst>
                <a:ext uri="{63B3BB69-23CF-44E3-9099-C40C66FF867C}">
                  <a14:compatExt spid="_x0000_s32825"/>
                </a:ext>
                <a:ext uri="{FF2B5EF4-FFF2-40B4-BE49-F238E27FC236}">
                  <a16:creationId xmlns:a16="http://schemas.microsoft.com/office/drawing/2014/main" id="{00000000-0008-0000-1500-00003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6" name="Button 58" hidden="1">
              <a:extLst>
                <a:ext uri="{63B3BB69-23CF-44E3-9099-C40C66FF867C}">
                  <a14:compatExt spid="_x0000_s32826"/>
                </a:ext>
                <a:ext uri="{FF2B5EF4-FFF2-40B4-BE49-F238E27FC236}">
                  <a16:creationId xmlns:a16="http://schemas.microsoft.com/office/drawing/2014/main" id="{00000000-0008-0000-1500-00003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3793" name="Button 1" hidden="1">
              <a:extLst>
                <a:ext uri="{63B3BB69-23CF-44E3-9099-C40C66FF867C}">
                  <a14:compatExt spid="_x0000_s33793"/>
                </a:ext>
                <a:ext uri="{FF2B5EF4-FFF2-40B4-BE49-F238E27FC236}">
                  <a16:creationId xmlns:a16="http://schemas.microsoft.com/office/drawing/2014/main" id="{00000000-0008-0000-1600-00000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33794" name="Button 2" hidden="1">
              <a:extLst>
                <a:ext uri="{63B3BB69-23CF-44E3-9099-C40C66FF867C}">
                  <a14:compatExt spid="_x0000_s33794"/>
                </a:ext>
                <a:ext uri="{FF2B5EF4-FFF2-40B4-BE49-F238E27FC236}">
                  <a16:creationId xmlns:a16="http://schemas.microsoft.com/office/drawing/2014/main" id="{00000000-0008-0000-1600-00000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5" name="Button 3" hidden="1">
              <a:extLst>
                <a:ext uri="{63B3BB69-23CF-44E3-9099-C40C66FF867C}">
                  <a14:compatExt spid="_x0000_s33795"/>
                </a:ext>
                <a:ext uri="{FF2B5EF4-FFF2-40B4-BE49-F238E27FC236}">
                  <a16:creationId xmlns:a16="http://schemas.microsoft.com/office/drawing/2014/main" id="{00000000-0008-0000-1600-00000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6" name="Button 4" hidden="1">
              <a:extLst>
                <a:ext uri="{63B3BB69-23CF-44E3-9099-C40C66FF867C}">
                  <a14:compatExt spid="_x0000_s33796"/>
                </a:ext>
                <a:ext uri="{FF2B5EF4-FFF2-40B4-BE49-F238E27FC236}">
                  <a16:creationId xmlns:a16="http://schemas.microsoft.com/office/drawing/2014/main" id="{00000000-0008-0000-1600-00000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7" name="Button 5" hidden="1">
              <a:extLst>
                <a:ext uri="{63B3BB69-23CF-44E3-9099-C40C66FF867C}">
                  <a14:compatExt spid="_x0000_s33797"/>
                </a:ext>
                <a:ext uri="{FF2B5EF4-FFF2-40B4-BE49-F238E27FC236}">
                  <a16:creationId xmlns:a16="http://schemas.microsoft.com/office/drawing/2014/main" id="{00000000-0008-0000-1600-00000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8" name="Button 6" hidden="1">
              <a:extLst>
                <a:ext uri="{63B3BB69-23CF-44E3-9099-C40C66FF867C}">
                  <a14:compatExt spid="_x0000_s33798"/>
                </a:ext>
                <a:ext uri="{FF2B5EF4-FFF2-40B4-BE49-F238E27FC236}">
                  <a16:creationId xmlns:a16="http://schemas.microsoft.com/office/drawing/2014/main" id="{00000000-0008-0000-1600-00000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799" name="Button 7" hidden="1">
              <a:extLst>
                <a:ext uri="{63B3BB69-23CF-44E3-9099-C40C66FF867C}">
                  <a14:compatExt spid="_x0000_s33799"/>
                </a:ext>
                <a:ext uri="{FF2B5EF4-FFF2-40B4-BE49-F238E27FC236}">
                  <a16:creationId xmlns:a16="http://schemas.microsoft.com/office/drawing/2014/main" id="{00000000-0008-0000-1600-00000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0" name="Button 8" hidden="1">
              <a:extLst>
                <a:ext uri="{63B3BB69-23CF-44E3-9099-C40C66FF867C}">
                  <a14:compatExt spid="_x0000_s33800"/>
                </a:ext>
                <a:ext uri="{FF2B5EF4-FFF2-40B4-BE49-F238E27FC236}">
                  <a16:creationId xmlns:a16="http://schemas.microsoft.com/office/drawing/2014/main" id="{00000000-0008-0000-1600-00000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1" name="Button 9" hidden="1">
              <a:extLst>
                <a:ext uri="{63B3BB69-23CF-44E3-9099-C40C66FF867C}">
                  <a14:compatExt spid="_x0000_s33801"/>
                </a:ext>
                <a:ext uri="{FF2B5EF4-FFF2-40B4-BE49-F238E27FC236}">
                  <a16:creationId xmlns:a16="http://schemas.microsoft.com/office/drawing/2014/main" id="{00000000-0008-0000-1600-00000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2" name="Button 10" hidden="1">
              <a:extLst>
                <a:ext uri="{63B3BB69-23CF-44E3-9099-C40C66FF867C}">
                  <a14:compatExt spid="_x0000_s33802"/>
                </a:ext>
                <a:ext uri="{FF2B5EF4-FFF2-40B4-BE49-F238E27FC236}">
                  <a16:creationId xmlns:a16="http://schemas.microsoft.com/office/drawing/2014/main" id="{00000000-0008-0000-1600-00000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3" name="Button 11" hidden="1">
              <a:extLst>
                <a:ext uri="{63B3BB69-23CF-44E3-9099-C40C66FF867C}">
                  <a14:compatExt spid="_x0000_s33803"/>
                </a:ext>
                <a:ext uri="{FF2B5EF4-FFF2-40B4-BE49-F238E27FC236}">
                  <a16:creationId xmlns:a16="http://schemas.microsoft.com/office/drawing/2014/main" id="{00000000-0008-0000-1600-00000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4" name="Button 12" hidden="1">
              <a:extLst>
                <a:ext uri="{63B3BB69-23CF-44E3-9099-C40C66FF867C}">
                  <a14:compatExt spid="_x0000_s33804"/>
                </a:ext>
                <a:ext uri="{FF2B5EF4-FFF2-40B4-BE49-F238E27FC236}">
                  <a16:creationId xmlns:a16="http://schemas.microsoft.com/office/drawing/2014/main" id="{00000000-0008-0000-1600-00000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5" name="Button 13" hidden="1">
              <a:extLst>
                <a:ext uri="{63B3BB69-23CF-44E3-9099-C40C66FF867C}">
                  <a14:compatExt spid="_x0000_s33805"/>
                </a:ext>
                <a:ext uri="{FF2B5EF4-FFF2-40B4-BE49-F238E27FC236}">
                  <a16:creationId xmlns:a16="http://schemas.microsoft.com/office/drawing/2014/main" id="{00000000-0008-0000-1600-00000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6" name="Button 14" hidden="1">
              <a:extLst>
                <a:ext uri="{63B3BB69-23CF-44E3-9099-C40C66FF867C}">
                  <a14:compatExt spid="_x0000_s33806"/>
                </a:ext>
                <a:ext uri="{FF2B5EF4-FFF2-40B4-BE49-F238E27FC236}">
                  <a16:creationId xmlns:a16="http://schemas.microsoft.com/office/drawing/2014/main" id="{00000000-0008-0000-1600-00000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7" name="Button 15" hidden="1">
              <a:extLst>
                <a:ext uri="{63B3BB69-23CF-44E3-9099-C40C66FF867C}">
                  <a14:compatExt spid="_x0000_s33807"/>
                </a:ext>
                <a:ext uri="{FF2B5EF4-FFF2-40B4-BE49-F238E27FC236}">
                  <a16:creationId xmlns:a16="http://schemas.microsoft.com/office/drawing/2014/main" id="{00000000-0008-0000-1600-00000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8" name="Button 16" hidden="1">
              <a:extLst>
                <a:ext uri="{63B3BB69-23CF-44E3-9099-C40C66FF867C}">
                  <a14:compatExt spid="_x0000_s33808"/>
                </a:ext>
                <a:ext uri="{FF2B5EF4-FFF2-40B4-BE49-F238E27FC236}">
                  <a16:creationId xmlns:a16="http://schemas.microsoft.com/office/drawing/2014/main" id="{00000000-0008-0000-1600-00001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9" name="Button 17" hidden="1">
              <a:extLst>
                <a:ext uri="{63B3BB69-23CF-44E3-9099-C40C66FF867C}">
                  <a14:compatExt spid="_x0000_s33809"/>
                </a:ext>
                <a:ext uri="{FF2B5EF4-FFF2-40B4-BE49-F238E27FC236}">
                  <a16:creationId xmlns:a16="http://schemas.microsoft.com/office/drawing/2014/main" id="{00000000-0008-0000-1600-00001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10" name="Button 18" hidden="1">
              <a:extLst>
                <a:ext uri="{63B3BB69-23CF-44E3-9099-C40C66FF867C}">
                  <a14:compatExt spid="_x0000_s33810"/>
                </a:ext>
                <a:ext uri="{FF2B5EF4-FFF2-40B4-BE49-F238E27FC236}">
                  <a16:creationId xmlns:a16="http://schemas.microsoft.com/office/drawing/2014/main" id="{00000000-0008-0000-1600-00001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1" name="Button 19" hidden="1">
              <a:extLst>
                <a:ext uri="{63B3BB69-23CF-44E3-9099-C40C66FF867C}">
                  <a14:compatExt spid="_x0000_s33811"/>
                </a:ext>
                <a:ext uri="{FF2B5EF4-FFF2-40B4-BE49-F238E27FC236}">
                  <a16:creationId xmlns:a16="http://schemas.microsoft.com/office/drawing/2014/main" id="{00000000-0008-0000-1600-00001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2" name="Button 20" hidden="1">
              <a:extLst>
                <a:ext uri="{63B3BB69-23CF-44E3-9099-C40C66FF867C}">
                  <a14:compatExt spid="_x0000_s33812"/>
                </a:ext>
                <a:ext uri="{FF2B5EF4-FFF2-40B4-BE49-F238E27FC236}">
                  <a16:creationId xmlns:a16="http://schemas.microsoft.com/office/drawing/2014/main" id="{00000000-0008-0000-1600-00001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3" name="Button 21" hidden="1">
              <a:extLst>
                <a:ext uri="{63B3BB69-23CF-44E3-9099-C40C66FF867C}">
                  <a14:compatExt spid="_x0000_s33813"/>
                </a:ext>
                <a:ext uri="{FF2B5EF4-FFF2-40B4-BE49-F238E27FC236}">
                  <a16:creationId xmlns:a16="http://schemas.microsoft.com/office/drawing/2014/main" id="{00000000-0008-0000-1600-00001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4" name="Button 22" hidden="1">
              <a:extLst>
                <a:ext uri="{63B3BB69-23CF-44E3-9099-C40C66FF867C}">
                  <a14:compatExt spid="_x0000_s33814"/>
                </a:ext>
                <a:ext uri="{FF2B5EF4-FFF2-40B4-BE49-F238E27FC236}">
                  <a16:creationId xmlns:a16="http://schemas.microsoft.com/office/drawing/2014/main" id="{00000000-0008-0000-1600-00001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5" name="Button 23" hidden="1">
              <a:extLst>
                <a:ext uri="{63B3BB69-23CF-44E3-9099-C40C66FF867C}">
                  <a14:compatExt spid="_x0000_s33815"/>
                </a:ext>
                <a:ext uri="{FF2B5EF4-FFF2-40B4-BE49-F238E27FC236}">
                  <a16:creationId xmlns:a16="http://schemas.microsoft.com/office/drawing/2014/main" id="{00000000-0008-0000-1600-00001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6" name="Button 24" hidden="1">
              <a:extLst>
                <a:ext uri="{63B3BB69-23CF-44E3-9099-C40C66FF867C}">
                  <a14:compatExt spid="_x0000_s33816"/>
                </a:ext>
                <a:ext uri="{FF2B5EF4-FFF2-40B4-BE49-F238E27FC236}">
                  <a16:creationId xmlns:a16="http://schemas.microsoft.com/office/drawing/2014/main" id="{00000000-0008-0000-1600-00001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7" name="Button 25" hidden="1">
              <a:extLst>
                <a:ext uri="{63B3BB69-23CF-44E3-9099-C40C66FF867C}">
                  <a14:compatExt spid="_x0000_s33817"/>
                </a:ext>
                <a:ext uri="{FF2B5EF4-FFF2-40B4-BE49-F238E27FC236}">
                  <a16:creationId xmlns:a16="http://schemas.microsoft.com/office/drawing/2014/main" id="{00000000-0008-0000-1600-00001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8" name="Button 26" hidden="1">
              <a:extLst>
                <a:ext uri="{63B3BB69-23CF-44E3-9099-C40C66FF867C}">
                  <a14:compatExt spid="_x0000_s33818"/>
                </a:ext>
                <a:ext uri="{FF2B5EF4-FFF2-40B4-BE49-F238E27FC236}">
                  <a16:creationId xmlns:a16="http://schemas.microsoft.com/office/drawing/2014/main" id="{00000000-0008-0000-1600-00001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19" name="Button 27" hidden="1">
              <a:extLst>
                <a:ext uri="{63B3BB69-23CF-44E3-9099-C40C66FF867C}">
                  <a14:compatExt spid="_x0000_s33819"/>
                </a:ext>
                <a:ext uri="{FF2B5EF4-FFF2-40B4-BE49-F238E27FC236}">
                  <a16:creationId xmlns:a16="http://schemas.microsoft.com/office/drawing/2014/main" id="{00000000-0008-0000-1600-00001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0" name="Button 28" hidden="1">
              <a:extLst>
                <a:ext uri="{63B3BB69-23CF-44E3-9099-C40C66FF867C}">
                  <a14:compatExt spid="_x0000_s33820"/>
                </a:ext>
                <a:ext uri="{FF2B5EF4-FFF2-40B4-BE49-F238E27FC236}">
                  <a16:creationId xmlns:a16="http://schemas.microsoft.com/office/drawing/2014/main" id="{00000000-0008-0000-1600-00001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1" name="Button 29" hidden="1">
              <a:extLst>
                <a:ext uri="{63B3BB69-23CF-44E3-9099-C40C66FF867C}">
                  <a14:compatExt spid="_x0000_s33821"/>
                </a:ext>
                <a:ext uri="{FF2B5EF4-FFF2-40B4-BE49-F238E27FC236}">
                  <a16:creationId xmlns:a16="http://schemas.microsoft.com/office/drawing/2014/main" id="{00000000-0008-0000-1600-00001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2" name="Button 30" hidden="1">
              <a:extLst>
                <a:ext uri="{63B3BB69-23CF-44E3-9099-C40C66FF867C}">
                  <a14:compatExt spid="_x0000_s33822"/>
                </a:ext>
                <a:ext uri="{FF2B5EF4-FFF2-40B4-BE49-F238E27FC236}">
                  <a16:creationId xmlns:a16="http://schemas.microsoft.com/office/drawing/2014/main" id="{00000000-0008-0000-1600-00001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3" name="Button 31" hidden="1">
              <a:extLst>
                <a:ext uri="{63B3BB69-23CF-44E3-9099-C40C66FF867C}">
                  <a14:compatExt spid="_x0000_s33823"/>
                </a:ext>
                <a:ext uri="{FF2B5EF4-FFF2-40B4-BE49-F238E27FC236}">
                  <a16:creationId xmlns:a16="http://schemas.microsoft.com/office/drawing/2014/main" id="{00000000-0008-0000-1600-00001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4" name="Button 32" hidden="1">
              <a:extLst>
                <a:ext uri="{63B3BB69-23CF-44E3-9099-C40C66FF867C}">
                  <a14:compatExt spid="_x0000_s33824"/>
                </a:ext>
                <a:ext uri="{FF2B5EF4-FFF2-40B4-BE49-F238E27FC236}">
                  <a16:creationId xmlns:a16="http://schemas.microsoft.com/office/drawing/2014/main" id="{00000000-0008-0000-1600-00002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5" name="Button 33" hidden="1">
              <a:extLst>
                <a:ext uri="{63B3BB69-23CF-44E3-9099-C40C66FF867C}">
                  <a14:compatExt spid="_x0000_s33825"/>
                </a:ext>
                <a:ext uri="{FF2B5EF4-FFF2-40B4-BE49-F238E27FC236}">
                  <a16:creationId xmlns:a16="http://schemas.microsoft.com/office/drawing/2014/main" id="{00000000-0008-0000-1600-00002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6" name="Button 34" hidden="1">
              <a:extLst>
                <a:ext uri="{63B3BB69-23CF-44E3-9099-C40C66FF867C}">
                  <a14:compatExt spid="_x0000_s33826"/>
                </a:ext>
                <a:ext uri="{FF2B5EF4-FFF2-40B4-BE49-F238E27FC236}">
                  <a16:creationId xmlns:a16="http://schemas.microsoft.com/office/drawing/2014/main" id="{00000000-0008-0000-1600-00002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7" name="Button 35" hidden="1">
              <a:extLst>
                <a:ext uri="{63B3BB69-23CF-44E3-9099-C40C66FF867C}">
                  <a14:compatExt spid="_x0000_s33827"/>
                </a:ext>
                <a:ext uri="{FF2B5EF4-FFF2-40B4-BE49-F238E27FC236}">
                  <a16:creationId xmlns:a16="http://schemas.microsoft.com/office/drawing/2014/main" id="{00000000-0008-0000-1600-00002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8" name="Button 36" hidden="1">
              <a:extLst>
                <a:ext uri="{63B3BB69-23CF-44E3-9099-C40C66FF867C}">
                  <a14:compatExt spid="_x0000_s33828"/>
                </a:ext>
                <a:ext uri="{FF2B5EF4-FFF2-40B4-BE49-F238E27FC236}">
                  <a16:creationId xmlns:a16="http://schemas.microsoft.com/office/drawing/2014/main" id="{00000000-0008-0000-1600-00002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9" name="Button 37" hidden="1">
              <a:extLst>
                <a:ext uri="{63B3BB69-23CF-44E3-9099-C40C66FF867C}">
                  <a14:compatExt spid="_x0000_s33829"/>
                </a:ext>
                <a:ext uri="{FF2B5EF4-FFF2-40B4-BE49-F238E27FC236}">
                  <a16:creationId xmlns:a16="http://schemas.microsoft.com/office/drawing/2014/main" id="{00000000-0008-0000-1600-00002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30" name="Button 38" hidden="1">
              <a:extLst>
                <a:ext uri="{63B3BB69-23CF-44E3-9099-C40C66FF867C}">
                  <a14:compatExt spid="_x0000_s33830"/>
                </a:ext>
                <a:ext uri="{FF2B5EF4-FFF2-40B4-BE49-F238E27FC236}">
                  <a16:creationId xmlns:a16="http://schemas.microsoft.com/office/drawing/2014/main" id="{00000000-0008-0000-1600-00002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1" name="Button 39" hidden="1">
              <a:extLst>
                <a:ext uri="{63B3BB69-23CF-44E3-9099-C40C66FF867C}">
                  <a14:compatExt spid="_x0000_s33831"/>
                </a:ext>
                <a:ext uri="{FF2B5EF4-FFF2-40B4-BE49-F238E27FC236}">
                  <a16:creationId xmlns:a16="http://schemas.microsoft.com/office/drawing/2014/main" id="{00000000-0008-0000-1600-00002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2" name="Button 40" hidden="1">
              <a:extLst>
                <a:ext uri="{63B3BB69-23CF-44E3-9099-C40C66FF867C}">
                  <a14:compatExt spid="_x0000_s33832"/>
                </a:ext>
                <a:ext uri="{FF2B5EF4-FFF2-40B4-BE49-F238E27FC236}">
                  <a16:creationId xmlns:a16="http://schemas.microsoft.com/office/drawing/2014/main" id="{00000000-0008-0000-1600-00002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3" name="Button 41" hidden="1">
              <a:extLst>
                <a:ext uri="{63B3BB69-23CF-44E3-9099-C40C66FF867C}">
                  <a14:compatExt spid="_x0000_s33833"/>
                </a:ext>
                <a:ext uri="{FF2B5EF4-FFF2-40B4-BE49-F238E27FC236}">
                  <a16:creationId xmlns:a16="http://schemas.microsoft.com/office/drawing/2014/main" id="{00000000-0008-0000-1600-00002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4" name="Button 42" hidden="1">
              <a:extLst>
                <a:ext uri="{63B3BB69-23CF-44E3-9099-C40C66FF867C}">
                  <a14:compatExt spid="_x0000_s33834"/>
                </a:ext>
                <a:ext uri="{FF2B5EF4-FFF2-40B4-BE49-F238E27FC236}">
                  <a16:creationId xmlns:a16="http://schemas.microsoft.com/office/drawing/2014/main" id="{00000000-0008-0000-1600-00002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5" name="Button 43" hidden="1">
              <a:extLst>
                <a:ext uri="{63B3BB69-23CF-44E3-9099-C40C66FF867C}">
                  <a14:compatExt spid="_x0000_s33835"/>
                </a:ext>
                <a:ext uri="{FF2B5EF4-FFF2-40B4-BE49-F238E27FC236}">
                  <a16:creationId xmlns:a16="http://schemas.microsoft.com/office/drawing/2014/main" id="{00000000-0008-0000-1600-00002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6" name="Button 44" hidden="1">
              <a:extLst>
                <a:ext uri="{63B3BB69-23CF-44E3-9099-C40C66FF867C}">
                  <a14:compatExt spid="_x0000_s33836"/>
                </a:ext>
                <a:ext uri="{FF2B5EF4-FFF2-40B4-BE49-F238E27FC236}">
                  <a16:creationId xmlns:a16="http://schemas.microsoft.com/office/drawing/2014/main" id="{00000000-0008-0000-1600-00002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7" name="Button 45" hidden="1">
              <a:extLst>
                <a:ext uri="{63B3BB69-23CF-44E3-9099-C40C66FF867C}">
                  <a14:compatExt spid="_x0000_s33837"/>
                </a:ext>
                <a:ext uri="{FF2B5EF4-FFF2-40B4-BE49-F238E27FC236}">
                  <a16:creationId xmlns:a16="http://schemas.microsoft.com/office/drawing/2014/main" id="{00000000-0008-0000-1600-00002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8" name="Button 46" hidden="1">
              <a:extLst>
                <a:ext uri="{63B3BB69-23CF-44E3-9099-C40C66FF867C}">
                  <a14:compatExt spid="_x0000_s33838"/>
                </a:ext>
                <a:ext uri="{FF2B5EF4-FFF2-40B4-BE49-F238E27FC236}">
                  <a16:creationId xmlns:a16="http://schemas.microsoft.com/office/drawing/2014/main" id="{00000000-0008-0000-1600-00002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39" name="Button 47" hidden="1">
              <a:extLst>
                <a:ext uri="{63B3BB69-23CF-44E3-9099-C40C66FF867C}">
                  <a14:compatExt spid="_x0000_s33839"/>
                </a:ext>
                <a:ext uri="{FF2B5EF4-FFF2-40B4-BE49-F238E27FC236}">
                  <a16:creationId xmlns:a16="http://schemas.microsoft.com/office/drawing/2014/main" id="{00000000-0008-0000-1600-00002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0" name="Button 48" hidden="1">
              <a:extLst>
                <a:ext uri="{63B3BB69-23CF-44E3-9099-C40C66FF867C}">
                  <a14:compatExt spid="_x0000_s33840"/>
                </a:ext>
                <a:ext uri="{FF2B5EF4-FFF2-40B4-BE49-F238E27FC236}">
                  <a16:creationId xmlns:a16="http://schemas.microsoft.com/office/drawing/2014/main" id="{00000000-0008-0000-1600-00003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1" name="Button 49" hidden="1">
              <a:extLst>
                <a:ext uri="{63B3BB69-23CF-44E3-9099-C40C66FF867C}">
                  <a14:compatExt spid="_x0000_s33841"/>
                </a:ext>
                <a:ext uri="{FF2B5EF4-FFF2-40B4-BE49-F238E27FC236}">
                  <a16:creationId xmlns:a16="http://schemas.microsoft.com/office/drawing/2014/main" id="{00000000-0008-0000-1600-00003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2" name="Button 50" hidden="1">
              <a:extLst>
                <a:ext uri="{63B3BB69-23CF-44E3-9099-C40C66FF867C}">
                  <a14:compatExt spid="_x0000_s33842"/>
                </a:ext>
                <a:ext uri="{FF2B5EF4-FFF2-40B4-BE49-F238E27FC236}">
                  <a16:creationId xmlns:a16="http://schemas.microsoft.com/office/drawing/2014/main" id="{00000000-0008-0000-1600-00003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3" name="Button 51" hidden="1">
              <a:extLst>
                <a:ext uri="{63B3BB69-23CF-44E3-9099-C40C66FF867C}">
                  <a14:compatExt spid="_x0000_s33843"/>
                </a:ext>
                <a:ext uri="{FF2B5EF4-FFF2-40B4-BE49-F238E27FC236}">
                  <a16:creationId xmlns:a16="http://schemas.microsoft.com/office/drawing/2014/main" id="{00000000-0008-0000-1600-00003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4" name="Button 52" hidden="1">
              <a:extLst>
                <a:ext uri="{63B3BB69-23CF-44E3-9099-C40C66FF867C}">
                  <a14:compatExt spid="_x0000_s33844"/>
                </a:ext>
                <a:ext uri="{FF2B5EF4-FFF2-40B4-BE49-F238E27FC236}">
                  <a16:creationId xmlns:a16="http://schemas.microsoft.com/office/drawing/2014/main" id="{00000000-0008-0000-1600-00003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5" name="Button 53" hidden="1">
              <a:extLst>
                <a:ext uri="{63B3BB69-23CF-44E3-9099-C40C66FF867C}">
                  <a14:compatExt spid="_x0000_s33845"/>
                </a:ext>
                <a:ext uri="{FF2B5EF4-FFF2-40B4-BE49-F238E27FC236}">
                  <a16:creationId xmlns:a16="http://schemas.microsoft.com/office/drawing/2014/main" id="{00000000-0008-0000-1600-00003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6" name="Button 54" hidden="1">
              <a:extLst>
                <a:ext uri="{63B3BB69-23CF-44E3-9099-C40C66FF867C}">
                  <a14:compatExt spid="_x0000_s33846"/>
                </a:ext>
                <a:ext uri="{FF2B5EF4-FFF2-40B4-BE49-F238E27FC236}">
                  <a16:creationId xmlns:a16="http://schemas.microsoft.com/office/drawing/2014/main" id="{00000000-0008-0000-1600-00003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7" name="Button 55" hidden="1">
              <a:extLst>
                <a:ext uri="{63B3BB69-23CF-44E3-9099-C40C66FF867C}">
                  <a14:compatExt spid="_x0000_s33847"/>
                </a:ext>
                <a:ext uri="{FF2B5EF4-FFF2-40B4-BE49-F238E27FC236}">
                  <a16:creationId xmlns:a16="http://schemas.microsoft.com/office/drawing/2014/main" id="{00000000-0008-0000-1600-00003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8" name="Button 56" hidden="1">
              <a:extLst>
                <a:ext uri="{63B3BB69-23CF-44E3-9099-C40C66FF867C}">
                  <a14:compatExt spid="_x0000_s33848"/>
                </a:ext>
                <a:ext uri="{FF2B5EF4-FFF2-40B4-BE49-F238E27FC236}">
                  <a16:creationId xmlns:a16="http://schemas.microsoft.com/office/drawing/2014/main" id="{00000000-0008-0000-1600-00003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9" name="Button 57" hidden="1">
              <a:extLst>
                <a:ext uri="{63B3BB69-23CF-44E3-9099-C40C66FF867C}">
                  <a14:compatExt spid="_x0000_s33849"/>
                </a:ext>
                <a:ext uri="{FF2B5EF4-FFF2-40B4-BE49-F238E27FC236}">
                  <a16:creationId xmlns:a16="http://schemas.microsoft.com/office/drawing/2014/main" id="{00000000-0008-0000-1600-00003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50" name="Button 58" hidden="1">
              <a:extLst>
                <a:ext uri="{63B3BB69-23CF-44E3-9099-C40C66FF867C}">
                  <a14:compatExt spid="_x0000_s33850"/>
                </a:ext>
                <a:ext uri="{FF2B5EF4-FFF2-40B4-BE49-F238E27FC236}">
                  <a16:creationId xmlns:a16="http://schemas.microsoft.com/office/drawing/2014/main" id="{00000000-0008-0000-1600-00003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4817" name="Button 1" hidden="1">
              <a:extLst>
                <a:ext uri="{63B3BB69-23CF-44E3-9099-C40C66FF867C}">
                  <a14:compatExt spid="_x0000_s34817"/>
                </a:ext>
                <a:ext uri="{FF2B5EF4-FFF2-40B4-BE49-F238E27FC236}">
                  <a16:creationId xmlns:a16="http://schemas.microsoft.com/office/drawing/2014/main" id="{00000000-0008-0000-1700-00000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34818" name="Button 2" hidden="1">
              <a:extLst>
                <a:ext uri="{63B3BB69-23CF-44E3-9099-C40C66FF867C}">
                  <a14:compatExt spid="_x0000_s34818"/>
                </a:ext>
                <a:ext uri="{FF2B5EF4-FFF2-40B4-BE49-F238E27FC236}">
                  <a16:creationId xmlns:a16="http://schemas.microsoft.com/office/drawing/2014/main" id="{00000000-0008-0000-1700-00000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19" name="Button 3" hidden="1">
              <a:extLst>
                <a:ext uri="{63B3BB69-23CF-44E3-9099-C40C66FF867C}">
                  <a14:compatExt spid="_x0000_s34819"/>
                </a:ext>
                <a:ext uri="{FF2B5EF4-FFF2-40B4-BE49-F238E27FC236}">
                  <a16:creationId xmlns:a16="http://schemas.microsoft.com/office/drawing/2014/main" id="{00000000-0008-0000-1700-00000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0" name="Button 4" hidden="1">
              <a:extLst>
                <a:ext uri="{63B3BB69-23CF-44E3-9099-C40C66FF867C}">
                  <a14:compatExt spid="_x0000_s34820"/>
                </a:ext>
                <a:ext uri="{FF2B5EF4-FFF2-40B4-BE49-F238E27FC236}">
                  <a16:creationId xmlns:a16="http://schemas.microsoft.com/office/drawing/2014/main" id="{00000000-0008-0000-1700-00000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1" name="Button 5" hidden="1">
              <a:extLst>
                <a:ext uri="{63B3BB69-23CF-44E3-9099-C40C66FF867C}">
                  <a14:compatExt spid="_x0000_s34821"/>
                </a:ext>
                <a:ext uri="{FF2B5EF4-FFF2-40B4-BE49-F238E27FC236}">
                  <a16:creationId xmlns:a16="http://schemas.microsoft.com/office/drawing/2014/main" id="{00000000-0008-0000-1700-00000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2" name="Button 6" hidden="1">
              <a:extLst>
                <a:ext uri="{63B3BB69-23CF-44E3-9099-C40C66FF867C}">
                  <a14:compatExt spid="_x0000_s34822"/>
                </a:ext>
                <a:ext uri="{FF2B5EF4-FFF2-40B4-BE49-F238E27FC236}">
                  <a16:creationId xmlns:a16="http://schemas.microsoft.com/office/drawing/2014/main" id="{00000000-0008-0000-1700-00000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3" name="Button 7" hidden="1">
              <a:extLst>
                <a:ext uri="{63B3BB69-23CF-44E3-9099-C40C66FF867C}">
                  <a14:compatExt spid="_x0000_s34823"/>
                </a:ext>
                <a:ext uri="{FF2B5EF4-FFF2-40B4-BE49-F238E27FC236}">
                  <a16:creationId xmlns:a16="http://schemas.microsoft.com/office/drawing/2014/main" id="{00000000-0008-0000-1700-00000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4" name="Button 8" hidden="1">
              <a:extLst>
                <a:ext uri="{63B3BB69-23CF-44E3-9099-C40C66FF867C}">
                  <a14:compatExt spid="_x0000_s34824"/>
                </a:ext>
                <a:ext uri="{FF2B5EF4-FFF2-40B4-BE49-F238E27FC236}">
                  <a16:creationId xmlns:a16="http://schemas.microsoft.com/office/drawing/2014/main" id="{00000000-0008-0000-1700-00000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1700-00000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1700-00000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7" name="Button 11" hidden="1">
              <a:extLst>
                <a:ext uri="{63B3BB69-23CF-44E3-9099-C40C66FF867C}">
                  <a14:compatExt spid="_x0000_s34827"/>
                </a:ext>
                <a:ext uri="{FF2B5EF4-FFF2-40B4-BE49-F238E27FC236}">
                  <a16:creationId xmlns:a16="http://schemas.microsoft.com/office/drawing/2014/main" id="{00000000-0008-0000-1700-00000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8" name="Button 12" hidden="1">
              <a:extLst>
                <a:ext uri="{63B3BB69-23CF-44E3-9099-C40C66FF867C}">
                  <a14:compatExt spid="_x0000_s34828"/>
                </a:ext>
                <a:ext uri="{FF2B5EF4-FFF2-40B4-BE49-F238E27FC236}">
                  <a16:creationId xmlns:a16="http://schemas.microsoft.com/office/drawing/2014/main" id="{00000000-0008-0000-1700-00000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9" name="Button 13" hidden="1">
              <a:extLst>
                <a:ext uri="{63B3BB69-23CF-44E3-9099-C40C66FF867C}">
                  <a14:compatExt spid="_x0000_s34829"/>
                </a:ext>
                <a:ext uri="{FF2B5EF4-FFF2-40B4-BE49-F238E27FC236}">
                  <a16:creationId xmlns:a16="http://schemas.microsoft.com/office/drawing/2014/main" id="{00000000-0008-0000-1700-00000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30" name="Button 14" hidden="1">
              <a:extLst>
                <a:ext uri="{63B3BB69-23CF-44E3-9099-C40C66FF867C}">
                  <a14:compatExt spid="_x0000_s34830"/>
                </a:ext>
                <a:ext uri="{FF2B5EF4-FFF2-40B4-BE49-F238E27FC236}">
                  <a16:creationId xmlns:a16="http://schemas.microsoft.com/office/drawing/2014/main" id="{00000000-0008-0000-1700-00000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1" name="Button 15" hidden="1">
              <a:extLst>
                <a:ext uri="{63B3BB69-23CF-44E3-9099-C40C66FF867C}">
                  <a14:compatExt spid="_x0000_s34831"/>
                </a:ext>
                <a:ext uri="{FF2B5EF4-FFF2-40B4-BE49-F238E27FC236}">
                  <a16:creationId xmlns:a16="http://schemas.microsoft.com/office/drawing/2014/main" id="{00000000-0008-0000-1700-00000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2" name="Button 16" hidden="1">
              <a:extLst>
                <a:ext uri="{63B3BB69-23CF-44E3-9099-C40C66FF867C}">
                  <a14:compatExt spid="_x0000_s34832"/>
                </a:ext>
                <a:ext uri="{FF2B5EF4-FFF2-40B4-BE49-F238E27FC236}">
                  <a16:creationId xmlns:a16="http://schemas.microsoft.com/office/drawing/2014/main" id="{00000000-0008-0000-1700-00001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3" name="Button 17" hidden="1">
              <a:extLst>
                <a:ext uri="{63B3BB69-23CF-44E3-9099-C40C66FF867C}">
                  <a14:compatExt spid="_x0000_s34833"/>
                </a:ext>
                <a:ext uri="{FF2B5EF4-FFF2-40B4-BE49-F238E27FC236}">
                  <a16:creationId xmlns:a16="http://schemas.microsoft.com/office/drawing/2014/main" id="{00000000-0008-0000-1700-00001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4" name="Button 18" hidden="1">
              <a:extLst>
                <a:ext uri="{63B3BB69-23CF-44E3-9099-C40C66FF867C}">
                  <a14:compatExt spid="_x0000_s34834"/>
                </a:ext>
                <a:ext uri="{FF2B5EF4-FFF2-40B4-BE49-F238E27FC236}">
                  <a16:creationId xmlns:a16="http://schemas.microsoft.com/office/drawing/2014/main" id="{00000000-0008-0000-1700-00001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5" name="Button 19" hidden="1">
              <a:extLst>
                <a:ext uri="{63B3BB69-23CF-44E3-9099-C40C66FF867C}">
                  <a14:compatExt spid="_x0000_s34835"/>
                </a:ext>
                <a:ext uri="{FF2B5EF4-FFF2-40B4-BE49-F238E27FC236}">
                  <a16:creationId xmlns:a16="http://schemas.microsoft.com/office/drawing/2014/main" id="{00000000-0008-0000-1700-00001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6" name="Button 20" hidden="1">
              <a:extLst>
                <a:ext uri="{63B3BB69-23CF-44E3-9099-C40C66FF867C}">
                  <a14:compatExt spid="_x0000_s34836"/>
                </a:ext>
                <a:ext uri="{FF2B5EF4-FFF2-40B4-BE49-F238E27FC236}">
                  <a16:creationId xmlns:a16="http://schemas.microsoft.com/office/drawing/2014/main" id="{00000000-0008-0000-1700-00001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7" name="Button 21" hidden="1">
              <a:extLst>
                <a:ext uri="{63B3BB69-23CF-44E3-9099-C40C66FF867C}">
                  <a14:compatExt spid="_x0000_s34837"/>
                </a:ext>
                <a:ext uri="{FF2B5EF4-FFF2-40B4-BE49-F238E27FC236}">
                  <a16:creationId xmlns:a16="http://schemas.microsoft.com/office/drawing/2014/main" id="{00000000-0008-0000-1700-00001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8" name="Button 22" hidden="1">
              <a:extLst>
                <a:ext uri="{63B3BB69-23CF-44E3-9099-C40C66FF867C}">
                  <a14:compatExt spid="_x0000_s34838"/>
                </a:ext>
                <a:ext uri="{FF2B5EF4-FFF2-40B4-BE49-F238E27FC236}">
                  <a16:creationId xmlns:a16="http://schemas.microsoft.com/office/drawing/2014/main" id="{00000000-0008-0000-1700-00001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39" name="Button 23" hidden="1">
              <a:extLst>
                <a:ext uri="{63B3BB69-23CF-44E3-9099-C40C66FF867C}">
                  <a14:compatExt spid="_x0000_s34839"/>
                </a:ext>
                <a:ext uri="{FF2B5EF4-FFF2-40B4-BE49-F238E27FC236}">
                  <a16:creationId xmlns:a16="http://schemas.microsoft.com/office/drawing/2014/main" id="{00000000-0008-0000-1700-00001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0" name="Button 24" hidden="1">
              <a:extLst>
                <a:ext uri="{63B3BB69-23CF-44E3-9099-C40C66FF867C}">
                  <a14:compatExt spid="_x0000_s34840"/>
                </a:ext>
                <a:ext uri="{FF2B5EF4-FFF2-40B4-BE49-F238E27FC236}">
                  <a16:creationId xmlns:a16="http://schemas.microsoft.com/office/drawing/2014/main" id="{00000000-0008-0000-1700-00001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1" name="Button 25" hidden="1">
              <a:extLst>
                <a:ext uri="{63B3BB69-23CF-44E3-9099-C40C66FF867C}">
                  <a14:compatExt spid="_x0000_s34841"/>
                </a:ext>
                <a:ext uri="{FF2B5EF4-FFF2-40B4-BE49-F238E27FC236}">
                  <a16:creationId xmlns:a16="http://schemas.microsoft.com/office/drawing/2014/main" id="{00000000-0008-0000-1700-00001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2" name="Button 26" hidden="1">
              <a:extLst>
                <a:ext uri="{63B3BB69-23CF-44E3-9099-C40C66FF867C}">
                  <a14:compatExt spid="_x0000_s34842"/>
                </a:ext>
                <a:ext uri="{FF2B5EF4-FFF2-40B4-BE49-F238E27FC236}">
                  <a16:creationId xmlns:a16="http://schemas.microsoft.com/office/drawing/2014/main" id="{00000000-0008-0000-1700-00001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3" name="Button 27" hidden="1">
              <a:extLst>
                <a:ext uri="{63B3BB69-23CF-44E3-9099-C40C66FF867C}">
                  <a14:compatExt spid="_x0000_s34843"/>
                </a:ext>
                <a:ext uri="{FF2B5EF4-FFF2-40B4-BE49-F238E27FC236}">
                  <a16:creationId xmlns:a16="http://schemas.microsoft.com/office/drawing/2014/main" id="{00000000-0008-0000-1700-00001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4" name="Button 28" hidden="1">
              <a:extLst>
                <a:ext uri="{63B3BB69-23CF-44E3-9099-C40C66FF867C}">
                  <a14:compatExt spid="_x0000_s34844"/>
                </a:ext>
                <a:ext uri="{FF2B5EF4-FFF2-40B4-BE49-F238E27FC236}">
                  <a16:creationId xmlns:a16="http://schemas.microsoft.com/office/drawing/2014/main" id="{00000000-0008-0000-1700-00001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5" name="Button 29" hidden="1">
              <a:extLst>
                <a:ext uri="{63B3BB69-23CF-44E3-9099-C40C66FF867C}">
                  <a14:compatExt spid="_x0000_s34845"/>
                </a:ext>
                <a:ext uri="{FF2B5EF4-FFF2-40B4-BE49-F238E27FC236}">
                  <a16:creationId xmlns:a16="http://schemas.microsoft.com/office/drawing/2014/main" id="{00000000-0008-0000-1700-00001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6" name="Button 30" hidden="1">
              <a:extLst>
                <a:ext uri="{63B3BB69-23CF-44E3-9099-C40C66FF867C}">
                  <a14:compatExt spid="_x0000_s34846"/>
                </a:ext>
                <a:ext uri="{FF2B5EF4-FFF2-40B4-BE49-F238E27FC236}">
                  <a16:creationId xmlns:a16="http://schemas.microsoft.com/office/drawing/2014/main" id="{00000000-0008-0000-1700-00001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7" name="Button 31" hidden="1">
              <a:extLst>
                <a:ext uri="{63B3BB69-23CF-44E3-9099-C40C66FF867C}">
                  <a14:compatExt spid="_x0000_s34847"/>
                </a:ext>
                <a:ext uri="{FF2B5EF4-FFF2-40B4-BE49-F238E27FC236}">
                  <a16:creationId xmlns:a16="http://schemas.microsoft.com/office/drawing/2014/main" id="{00000000-0008-0000-1700-00001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8" name="Button 32" hidden="1">
              <a:extLst>
                <a:ext uri="{63B3BB69-23CF-44E3-9099-C40C66FF867C}">
                  <a14:compatExt spid="_x0000_s34848"/>
                </a:ext>
                <a:ext uri="{FF2B5EF4-FFF2-40B4-BE49-F238E27FC236}">
                  <a16:creationId xmlns:a16="http://schemas.microsoft.com/office/drawing/2014/main" id="{00000000-0008-0000-1700-00002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9" name="Button 33" hidden="1">
              <a:extLst>
                <a:ext uri="{63B3BB69-23CF-44E3-9099-C40C66FF867C}">
                  <a14:compatExt spid="_x0000_s34849"/>
                </a:ext>
                <a:ext uri="{FF2B5EF4-FFF2-40B4-BE49-F238E27FC236}">
                  <a16:creationId xmlns:a16="http://schemas.microsoft.com/office/drawing/2014/main" id="{00000000-0008-0000-1700-00002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50" name="Button 34" hidden="1">
              <a:extLst>
                <a:ext uri="{63B3BB69-23CF-44E3-9099-C40C66FF867C}">
                  <a14:compatExt spid="_x0000_s34850"/>
                </a:ext>
                <a:ext uri="{FF2B5EF4-FFF2-40B4-BE49-F238E27FC236}">
                  <a16:creationId xmlns:a16="http://schemas.microsoft.com/office/drawing/2014/main" id="{00000000-0008-0000-1700-00002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1" name="Button 35" hidden="1">
              <a:extLst>
                <a:ext uri="{63B3BB69-23CF-44E3-9099-C40C66FF867C}">
                  <a14:compatExt spid="_x0000_s34851"/>
                </a:ext>
                <a:ext uri="{FF2B5EF4-FFF2-40B4-BE49-F238E27FC236}">
                  <a16:creationId xmlns:a16="http://schemas.microsoft.com/office/drawing/2014/main" id="{00000000-0008-0000-1700-00002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2" name="Button 36" hidden="1">
              <a:extLst>
                <a:ext uri="{63B3BB69-23CF-44E3-9099-C40C66FF867C}">
                  <a14:compatExt spid="_x0000_s34852"/>
                </a:ext>
                <a:ext uri="{FF2B5EF4-FFF2-40B4-BE49-F238E27FC236}">
                  <a16:creationId xmlns:a16="http://schemas.microsoft.com/office/drawing/2014/main" id="{00000000-0008-0000-1700-00002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3" name="Button 37" hidden="1">
              <a:extLst>
                <a:ext uri="{63B3BB69-23CF-44E3-9099-C40C66FF867C}">
                  <a14:compatExt spid="_x0000_s34853"/>
                </a:ext>
                <a:ext uri="{FF2B5EF4-FFF2-40B4-BE49-F238E27FC236}">
                  <a16:creationId xmlns:a16="http://schemas.microsoft.com/office/drawing/2014/main" id="{00000000-0008-0000-1700-00002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4" name="Button 38" hidden="1">
              <a:extLst>
                <a:ext uri="{63B3BB69-23CF-44E3-9099-C40C66FF867C}">
                  <a14:compatExt spid="_x0000_s34854"/>
                </a:ext>
                <a:ext uri="{FF2B5EF4-FFF2-40B4-BE49-F238E27FC236}">
                  <a16:creationId xmlns:a16="http://schemas.microsoft.com/office/drawing/2014/main" id="{00000000-0008-0000-1700-00002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5" name="Button 39" hidden="1">
              <a:extLst>
                <a:ext uri="{63B3BB69-23CF-44E3-9099-C40C66FF867C}">
                  <a14:compatExt spid="_x0000_s34855"/>
                </a:ext>
                <a:ext uri="{FF2B5EF4-FFF2-40B4-BE49-F238E27FC236}">
                  <a16:creationId xmlns:a16="http://schemas.microsoft.com/office/drawing/2014/main" id="{00000000-0008-0000-1700-00002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6" name="Button 40" hidden="1">
              <a:extLst>
                <a:ext uri="{63B3BB69-23CF-44E3-9099-C40C66FF867C}">
                  <a14:compatExt spid="_x0000_s34856"/>
                </a:ext>
                <a:ext uri="{FF2B5EF4-FFF2-40B4-BE49-F238E27FC236}">
                  <a16:creationId xmlns:a16="http://schemas.microsoft.com/office/drawing/2014/main" id="{00000000-0008-0000-1700-00002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7" name="Button 41" hidden="1">
              <a:extLst>
                <a:ext uri="{63B3BB69-23CF-44E3-9099-C40C66FF867C}">
                  <a14:compatExt spid="_x0000_s34857"/>
                </a:ext>
                <a:ext uri="{FF2B5EF4-FFF2-40B4-BE49-F238E27FC236}">
                  <a16:creationId xmlns:a16="http://schemas.microsoft.com/office/drawing/2014/main" id="{00000000-0008-0000-1700-00002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8" name="Button 42" hidden="1">
              <a:extLst>
                <a:ext uri="{63B3BB69-23CF-44E3-9099-C40C66FF867C}">
                  <a14:compatExt spid="_x0000_s34858"/>
                </a:ext>
                <a:ext uri="{FF2B5EF4-FFF2-40B4-BE49-F238E27FC236}">
                  <a16:creationId xmlns:a16="http://schemas.microsoft.com/office/drawing/2014/main" id="{00000000-0008-0000-1700-00002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59" name="Button 43" hidden="1">
              <a:extLst>
                <a:ext uri="{63B3BB69-23CF-44E3-9099-C40C66FF867C}">
                  <a14:compatExt spid="_x0000_s34859"/>
                </a:ext>
                <a:ext uri="{FF2B5EF4-FFF2-40B4-BE49-F238E27FC236}">
                  <a16:creationId xmlns:a16="http://schemas.microsoft.com/office/drawing/2014/main" id="{00000000-0008-0000-1700-00002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0" name="Button 44" hidden="1">
              <a:extLst>
                <a:ext uri="{63B3BB69-23CF-44E3-9099-C40C66FF867C}">
                  <a14:compatExt spid="_x0000_s34860"/>
                </a:ext>
                <a:ext uri="{FF2B5EF4-FFF2-40B4-BE49-F238E27FC236}">
                  <a16:creationId xmlns:a16="http://schemas.microsoft.com/office/drawing/2014/main" id="{00000000-0008-0000-1700-00002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1" name="Button 45" hidden="1">
              <a:extLst>
                <a:ext uri="{63B3BB69-23CF-44E3-9099-C40C66FF867C}">
                  <a14:compatExt spid="_x0000_s34861"/>
                </a:ext>
                <a:ext uri="{FF2B5EF4-FFF2-40B4-BE49-F238E27FC236}">
                  <a16:creationId xmlns:a16="http://schemas.microsoft.com/office/drawing/2014/main" id="{00000000-0008-0000-1700-00002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2" name="Button 46" hidden="1">
              <a:extLst>
                <a:ext uri="{63B3BB69-23CF-44E3-9099-C40C66FF867C}">
                  <a14:compatExt spid="_x0000_s34862"/>
                </a:ext>
                <a:ext uri="{FF2B5EF4-FFF2-40B4-BE49-F238E27FC236}">
                  <a16:creationId xmlns:a16="http://schemas.microsoft.com/office/drawing/2014/main" id="{00000000-0008-0000-1700-00002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3" name="Button 47" hidden="1">
              <a:extLst>
                <a:ext uri="{63B3BB69-23CF-44E3-9099-C40C66FF867C}">
                  <a14:compatExt spid="_x0000_s34863"/>
                </a:ext>
                <a:ext uri="{FF2B5EF4-FFF2-40B4-BE49-F238E27FC236}">
                  <a16:creationId xmlns:a16="http://schemas.microsoft.com/office/drawing/2014/main" id="{00000000-0008-0000-1700-00002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4" name="Button 48" hidden="1">
              <a:extLst>
                <a:ext uri="{63B3BB69-23CF-44E3-9099-C40C66FF867C}">
                  <a14:compatExt spid="_x0000_s34864"/>
                </a:ext>
                <a:ext uri="{FF2B5EF4-FFF2-40B4-BE49-F238E27FC236}">
                  <a16:creationId xmlns:a16="http://schemas.microsoft.com/office/drawing/2014/main" id="{00000000-0008-0000-1700-00003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5" name="Button 49" hidden="1">
              <a:extLst>
                <a:ext uri="{63B3BB69-23CF-44E3-9099-C40C66FF867C}">
                  <a14:compatExt spid="_x0000_s34865"/>
                </a:ext>
                <a:ext uri="{FF2B5EF4-FFF2-40B4-BE49-F238E27FC236}">
                  <a16:creationId xmlns:a16="http://schemas.microsoft.com/office/drawing/2014/main" id="{00000000-0008-0000-1700-00003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6" name="Button 50" hidden="1">
              <a:extLst>
                <a:ext uri="{63B3BB69-23CF-44E3-9099-C40C66FF867C}">
                  <a14:compatExt spid="_x0000_s34866"/>
                </a:ext>
                <a:ext uri="{FF2B5EF4-FFF2-40B4-BE49-F238E27FC236}">
                  <a16:creationId xmlns:a16="http://schemas.microsoft.com/office/drawing/2014/main" id="{00000000-0008-0000-1700-00003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7" name="Button 51" hidden="1">
              <a:extLst>
                <a:ext uri="{63B3BB69-23CF-44E3-9099-C40C66FF867C}">
                  <a14:compatExt spid="_x0000_s34867"/>
                </a:ext>
                <a:ext uri="{FF2B5EF4-FFF2-40B4-BE49-F238E27FC236}">
                  <a16:creationId xmlns:a16="http://schemas.microsoft.com/office/drawing/2014/main" id="{00000000-0008-0000-1700-00003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8" name="Button 52" hidden="1">
              <a:extLst>
                <a:ext uri="{63B3BB69-23CF-44E3-9099-C40C66FF867C}">
                  <a14:compatExt spid="_x0000_s34868"/>
                </a:ext>
                <a:ext uri="{FF2B5EF4-FFF2-40B4-BE49-F238E27FC236}">
                  <a16:creationId xmlns:a16="http://schemas.microsoft.com/office/drawing/2014/main" id="{00000000-0008-0000-1700-00003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9" name="Button 53" hidden="1">
              <a:extLst>
                <a:ext uri="{63B3BB69-23CF-44E3-9099-C40C66FF867C}">
                  <a14:compatExt spid="_x0000_s34869"/>
                </a:ext>
                <a:ext uri="{FF2B5EF4-FFF2-40B4-BE49-F238E27FC236}">
                  <a16:creationId xmlns:a16="http://schemas.microsoft.com/office/drawing/2014/main" id="{00000000-0008-0000-1700-00003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70" name="Button 54" hidden="1">
              <a:extLst>
                <a:ext uri="{63B3BB69-23CF-44E3-9099-C40C66FF867C}">
                  <a14:compatExt spid="_x0000_s34870"/>
                </a:ext>
                <a:ext uri="{FF2B5EF4-FFF2-40B4-BE49-F238E27FC236}">
                  <a16:creationId xmlns:a16="http://schemas.microsoft.com/office/drawing/2014/main" id="{00000000-0008-0000-1700-00003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1" name="Button 55" hidden="1">
              <a:extLst>
                <a:ext uri="{63B3BB69-23CF-44E3-9099-C40C66FF867C}">
                  <a14:compatExt spid="_x0000_s34871"/>
                </a:ext>
                <a:ext uri="{FF2B5EF4-FFF2-40B4-BE49-F238E27FC236}">
                  <a16:creationId xmlns:a16="http://schemas.microsoft.com/office/drawing/2014/main" id="{00000000-0008-0000-1700-00003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2" name="Button 56" hidden="1">
              <a:extLst>
                <a:ext uri="{63B3BB69-23CF-44E3-9099-C40C66FF867C}">
                  <a14:compatExt spid="_x0000_s34872"/>
                </a:ext>
                <a:ext uri="{FF2B5EF4-FFF2-40B4-BE49-F238E27FC236}">
                  <a16:creationId xmlns:a16="http://schemas.microsoft.com/office/drawing/2014/main" id="{00000000-0008-0000-1700-00003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3" name="Button 57" hidden="1">
              <a:extLst>
                <a:ext uri="{63B3BB69-23CF-44E3-9099-C40C66FF867C}">
                  <a14:compatExt spid="_x0000_s34873"/>
                </a:ext>
                <a:ext uri="{FF2B5EF4-FFF2-40B4-BE49-F238E27FC236}">
                  <a16:creationId xmlns:a16="http://schemas.microsoft.com/office/drawing/2014/main" id="{00000000-0008-0000-1700-00003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4" name="Button 58" hidden="1">
              <a:extLst>
                <a:ext uri="{63B3BB69-23CF-44E3-9099-C40C66FF867C}">
                  <a14:compatExt spid="_x0000_s34874"/>
                </a:ext>
                <a:ext uri="{FF2B5EF4-FFF2-40B4-BE49-F238E27FC236}">
                  <a16:creationId xmlns:a16="http://schemas.microsoft.com/office/drawing/2014/main" id="{00000000-0008-0000-1700-00003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18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81</xdr:row>
          <xdr:rowOff>38100</xdr:rowOff>
        </xdr:from>
        <xdr:to>
          <xdr:col>30</xdr:col>
          <xdr:colOff>161925</xdr:colOff>
          <xdr:row>82</xdr:row>
          <xdr:rowOff>85725</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18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19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19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22531" name="Button 3" hidden="1">
              <a:extLst>
                <a:ext uri="{63B3BB69-23CF-44E3-9099-C40C66FF867C}">
                  <a14:compatExt spid="_x0000_s22531"/>
                </a:ext>
                <a:ext uri="{FF2B5EF4-FFF2-40B4-BE49-F238E27FC236}">
                  <a16:creationId xmlns:a16="http://schemas.microsoft.com/office/drawing/2014/main" id="{00000000-0008-0000-1900-000003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22532" name="Button 4" hidden="1">
              <a:extLst>
                <a:ext uri="{63B3BB69-23CF-44E3-9099-C40C66FF867C}">
                  <a14:compatExt spid="_x0000_s22532"/>
                </a:ext>
                <a:ext uri="{FF2B5EF4-FFF2-40B4-BE49-F238E27FC236}">
                  <a16:creationId xmlns:a16="http://schemas.microsoft.com/office/drawing/2014/main" id="{00000000-0008-0000-1900-000004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 name="Button 1" hidden="1">
              <a:extLst>
                <a:ext uri="{63B3BB69-23CF-44E3-9099-C40C66FF867C}">
                  <a14:compatExt spid="_x0000_s23553"/>
                </a:ext>
                <a:ext uri="{FF2B5EF4-FFF2-40B4-BE49-F238E27FC236}">
                  <a16:creationId xmlns:a16="http://schemas.microsoft.com/office/drawing/2014/main" id="{00000000-0008-0000-1A00-000001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4" name="Button 2" hidden="1">
              <a:extLst>
                <a:ext uri="{63B3BB69-23CF-44E3-9099-C40C66FF867C}">
                  <a14:compatExt spid="_x0000_s23554"/>
                </a:ext>
                <a:ext uri="{FF2B5EF4-FFF2-40B4-BE49-F238E27FC236}">
                  <a16:creationId xmlns:a16="http://schemas.microsoft.com/office/drawing/2014/main" id="{00000000-0008-0000-1A00-000002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5" name="Button 3" hidden="1">
              <a:extLst>
                <a:ext uri="{63B3BB69-23CF-44E3-9099-C40C66FF867C}">
                  <a14:compatExt spid="_x0000_s23555"/>
                </a:ext>
                <a:ext uri="{FF2B5EF4-FFF2-40B4-BE49-F238E27FC236}">
                  <a16:creationId xmlns:a16="http://schemas.microsoft.com/office/drawing/2014/main" id="{00000000-0008-0000-1A00-000003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1B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67</xdr:row>
          <xdr:rowOff>47625</xdr:rowOff>
        </xdr:from>
        <xdr:to>
          <xdr:col>15</xdr:col>
          <xdr:colOff>542925</xdr:colOff>
          <xdr:row>68</xdr:row>
          <xdr:rowOff>104775</xdr:rowOff>
        </xdr:to>
        <xdr:sp macro="" textlink="">
          <xdr:nvSpPr>
            <xdr:cNvPr id="24578" name="Button 2" hidden="1">
              <a:extLst>
                <a:ext uri="{63B3BB69-23CF-44E3-9099-C40C66FF867C}">
                  <a14:compatExt spid="_x0000_s24578"/>
                </a:ext>
                <a:ext uri="{FF2B5EF4-FFF2-40B4-BE49-F238E27FC236}">
                  <a16:creationId xmlns:a16="http://schemas.microsoft.com/office/drawing/2014/main" id="{00000000-0008-0000-1B00-00000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79" name="Button 3" hidden="1">
              <a:extLst>
                <a:ext uri="{63B3BB69-23CF-44E3-9099-C40C66FF867C}">
                  <a14:compatExt spid="_x0000_s24579"/>
                </a:ext>
                <a:ext uri="{FF2B5EF4-FFF2-40B4-BE49-F238E27FC236}">
                  <a16:creationId xmlns:a16="http://schemas.microsoft.com/office/drawing/2014/main" id="{00000000-0008-0000-1B00-00000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0" name="Button 4" hidden="1">
              <a:extLst>
                <a:ext uri="{63B3BB69-23CF-44E3-9099-C40C66FF867C}">
                  <a14:compatExt spid="_x0000_s24580"/>
                </a:ext>
                <a:ext uri="{FF2B5EF4-FFF2-40B4-BE49-F238E27FC236}">
                  <a16:creationId xmlns:a16="http://schemas.microsoft.com/office/drawing/2014/main" id="{00000000-0008-0000-1B00-000004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1" name="Button 5" hidden="1">
              <a:extLst>
                <a:ext uri="{63B3BB69-23CF-44E3-9099-C40C66FF867C}">
                  <a14:compatExt spid="_x0000_s24581"/>
                </a:ext>
                <a:ext uri="{FF2B5EF4-FFF2-40B4-BE49-F238E27FC236}">
                  <a16:creationId xmlns:a16="http://schemas.microsoft.com/office/drawing/2014/main" id="{00000000-0008-0000-1B00-000005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2" name="Button 6" hidden="1">
              <a:extLst>
                <a:ext uri="{63B3BB69-23CF-44E3-9099-C40C66FF867C}">
                  <a14:compatExt spid="_x0000_s24582"/>
                </a:ext>
                <a:ext uri="{FF2B5EF4-FFF2-40B4-BE49-F238E27FC236}">
                  <a16:creationId xmlns:a16="http://schemas.microsoft.com/office/drawing/2014/main" id="{00000000-0008-0000-1B00-000006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5601" name="Button 1" hidden="1">
              <a:extLst>
                <a:ext uri="{63B3BB69-23CF-44E3-9099-C40C66FF867C}">
                  <a14:compatExt spid="_x0000_s25601"/>
                </a:ext>
                <a:ext uri="{FF2B5EF4-FFF2-40B4-BE49-F238E27FC236}">
                  <a16:creationId xmlns:a16="http://schemas.microsoft.com/office/drawing/2014/main" id="{00000000-0008-0000-1C00-000001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5602" name="Button 2" hidden="1">
              <a:extLst>
                <a:ext uri="{63B3BB69-23CF-44E3-9099-C40C66FF867C}">
                  <a14:compatExt spid="_x0000_s25602"/>
                </a:ext>
                <a:ext uri="{FF2B5EF4-FFF2-40B4-BE49-F238E27FC236}">
                  <a16:creationId xmlns:a16="http://schemas.microsoft.com/office/drawing/2014/main" id="{00000000-0008-0000-1C00-000002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3" name="Button 3" hidden="1">
              <a:extLst>
                <a:ext uri="{63B3BB69-23CF-44E3-9099-C40C66FF867C}">
                  <a14:compatExt spid="_x0000_s25603"/>
                </a:ext>
                <a:ext uri="{FF2B5EF4-FFF2-40B4-BE49-F238E27FC236}">
                  <a16:creationId xmlns:a16="http://schemas.microsoft.com/office/drawing/2014/main" id="{00000000-0008-0000-1C00-000003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4" name="Button 4" hidden="1">
              <a:extLst>
                <a:ext uri="{63B3BB69-23CF-44E3-9099-C40C66FF867C}">
                  <a14:compatExt spid="_x0000_s25604"/>
                </a:ext>
                <a:ext uri="{FF2B5EF4-FFF2-40B4-BE49-F238E27FC236}">
                  <a16:creationId xmlns:a16="http://schemas.microsoft.com/office/drawing/2014/main" id="{00000000-0008-0000-1C00-000004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5" name="Button 5" hidden="1">
              <a:extLst>
                <a:ext uri="{63B3BB69-23CF-44E3-9099-C40C66FF867C}">
                  <a14:compatExt spid="_x0000_s25605"/>
                </a:ext>
                <a:ext uri="{FF2B5EF4-FFF2-40B4-BE49-F238E27FC236}">
                  <a16:creationId xmlns:a16="http://schemas.microsoft.com/office/drawing/2014/main" id="{00000000-0008-0000-1C00-000005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6" name="Button 6" hidden="1">
              <a:extLst>
                <a:ext uri="{63B3BB69-23CF-44E3-9099-C40C66FF867C}">
                  <a14:compatExt spid="_x0000_s25606"/>
                </a:ext>
                <a:ext uri="{FF2B5EF4-FFF2-40B4-BE49-F238E27FC236}">
                  <a16:creationId xmlns:a16="http://schemas.microsoft.com/office/drawing/2014/main" id="{00000000-0008-0000-1C00-000006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6625" name="Button 1" hidden="1">
              <a:extLst>
                <a:ext uri="{63B3BB69-23CF-44E3-9099-C40C66FF867C}">
                  <a14:compatExt spid="_x0000_s26625"/>
                </a:ext>
                <a:ext uri="{FF2B5EF4-FFF2-40B4-BE49-F238E27FC236}">
                  <a16:creationId xmlns:a16="http://schemas.microsoft.com/office/drawing/2014/main" id="{00000000-0008-0000-1D00-00000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26626" name="Button 2" hidden="1">
              <a:extLst>
                <a:ext uri="{63B3BB69-23CF-44E3-9099-C40C66FF867C}">
                  <a14:compatExt spid="_x0000_s26626"/>
                </a:ext>
                <a:ext uri="{FF2B5EF4-FFF2-40B4-BE49-F238E27FC236}">
                  <a16:creationId xmlns:a16="http://schemas.microsoft.com/office/drawing/2014/main" id="{00000000-0008-0000-1D00-00000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7" name="Button 3" hidden="1">
              <a:extLst>
                <a:ext uri="{63B3BB69-23CF-44E3-9099-C40C66FF867C}">
                  <a14:compatExt spid="_x0000_s26627"/>
                </a:ext>
                <a:ext uri="{FF2B5EF4-FFF2-40B4-BE49-F238E27FC236}">
                  <a16:creationId xmlns:a16="http://schemas.microsoft.com/office/drawing/2014/main" id="{00000000-0008-0000-1D00-00000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8" name="Button 4" hidden="1">
              <a:extLst>
                <a:ext uri="{63B3BB69-23CF-44E3-9099-C40C66FF867C}">
                  <a14:compatExt spid="_x0000_s26628"/>
                </a:ext>
                <a:ext uri="{FF2B5EF4-FFF2-40B4-BE49-F238E27FC236}">
                  <a16:creationId xmlns:a16="http://schemas.microsoft.com/office/drawing/2014/main" id="{00000000-0008-0000-1D00-00000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9" name="Button 5" hidden="1">
              <a:extLst>
                <a:ext uri="{63B3BB69-23CF-44E3-9099-C40C66FF867C}">
                  <a14:compatExt spid="_x0000_s26629"/>
                </a:ext>
                <a:ext uri="{FF2B5EF4-FFF2-40B4-BE49-F238E27FC236}">
                  <a16:creationId xmlns:a16="http://schemas.microsoft.com/office/drawing/2014/main" id="{00000000-0008-0000-1D00-00000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30" name="Button 6" hidden="1">
              <a:extLst>
                <a:ext uri="{63B3BB69-23CF-44E3-9099-C40C66FF867C}">
                  <a14:compatExt spid="_x0000_s26630"/>
                </a:ext>
                <a:ext uri="{FF2B5EF4-FFF2-40B4-BE49-F238E27FC236}">
                  <a16:creationId xmlns:a16="http://schemas.microsoft.com/office/drawing/2014/main" id="{00000000-0008-0000-1D00-00000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1" name="Button 7" hidden="1">
              <a:extLst>
                <a:ext uri="{63B3BB69-23CF-44E3-9099-C40C66FF867C}">
                  <a14:compatExt spid="_x0000_s26631"/>
                </a:ext>
                <a:ext uri="{FF2B5EF4-FFF2-40B4-BE49-F238E27FC236}">
                  <a16:creationId xmlns:a16="http://schemas.microsoft.com/office/drawing/2014/main" id="{00000000-0008-0000-1D00-00000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2" name="Button 8" hidden="1">
              <a:extLst>
                <a:ext uri="{63B3BB69-23CF-44E3-9099-C40C66FF867C}">
                  <a14:compatExt spid="_x0000_s26632"/>
                </a:ext>
                <a:ext uri="{FF2B5EF4-FFF2-40B4-BE49-F238E27FC236}">
                  <a16:creationId xmlns:a16="http://schemas.microsoft.com/office/drawing/2014/main" id="{00000000-0008-0000-1D00-00000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3" name="Button 9" hidden="1">
              <a:extLst>
                <a:ext uri="{63B3BB69-23CF-44E3-9099-C40C66FF867C}">
                  <a14:compatExt spid="_x0000_s26633"/>
                </a:ext>
                <a:ext uri="{FF2B5EF4-FFF2-40B4-BE49-F238E27FC236}">
                  <a16:creationId xmlns:a16="http://schemas.microsoft.com/office/drawing/2014/main" id="{00000000-0008-0000-1D00-00000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4" name="Button 10" hidden="1">
              <a:extLst>
                <a:ext uri="{63B3BB69-23CF-44E3-9099-C40C66FF867C}">
                  <a14:compatExt spid="_x0000_s26634"/>
                </a:ext>
                <a:ext uri="{FF2B5EF4-FFF2-40B4-BE49-F238E27FC236}">
                  <a16:creationId xmlns:a16="http://schemas.microsoft.com/office/drawing/2014/main" id="{00000000-0008-0000-1D00-00000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5" name="Button 11" hidden="1">
              <a:extLst>
                <a:ext uri="{63B3BB69-23CF-44E3-9099-C40C66FF867C}">
                  <a14:compatExt spid="_x0000_s26635"/>
                </a:ext>
                <a:ext uri="{FF2B5EF4-FFF2-40B4-BE49-F238E27FC236}">
                  <a16:creationId xmlns:a16="http://schemas.microsoft.com/office/drawing/2014/main" id="{00000000-0008-0000-1D00-00000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6" name="Button 12" hidden="1">
              <a:extLst>
                <a:ext uri="{63B3BB69-23CF-44E3-9099-C40C66FF867C}">
                  <a14:compatExt spid="_x0000_s26636"/>
                </a:ext>
                <a:ext uri="{FF2B5EF4-FFF2-40B4-BE49-F238E27FC236}">
                  <a16:creationId xmlns:a16="http://schemas.microsoft.com/office/drawing/2014/main" id="{00000000-0008-0000-1D00-00000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7" name="Button 13" hidden="1">
              <a:extLst>
                <a:ext uri="{63B3BB69-23CF-44E3-9099-C40C66FF867C}">
                  <a14:compatExt spid="_x0000_s26637"/>
                </a:ext>
                <a:ext uri="{FF2B5EF4-FFF2-40B4-BE49-F238E27FC236}">
                  <a16:creationId xmlns:a16="http://schemas.microsoft.com/office/drawing/2014/main" id="{00000000-0008-0000-1D00-00000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8" name="Button 14" hidden="1">
              <a:extLst>
                <a:ext uri="{63B3BB69-23CF-44E3-9099-C40C66FF867C}">
                  <a14:compatExt spid="_x0000_s26638"/>
                </a:ext>
                <a:ext uri="{FF2B5EF4-FFF2-40B4-BE49-F238E27FC236}">
                  <a16:creationId xmlns:a16="http://schemas.microsoft.com/office/drawing/2014/main" id="{00000000-0008-0000-1D00-00000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39" name="Button 15" hidden="1">
              <a:extLst>
                <a:ext uri="{63B3BB69-23CF-44E3-9099-C40C66FF867C}">
                  <a14:compatExt spid="_x0000_s26639"/>
                </a:ext>
                <a:ext uri="{FF2B5EF4-FFF2-40B4-BE49-F238E27FC236}">
                  <a16:creationId xmlns:a16="http://schemas.microsoft.com/office/drawing/2014/main" id="{00000000-0008-0000-1D00-00000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0" name="Button 16" hidden="1">
              <a:extLst>
                <a:ext uri="{63B3BB69-23CF-44E3-9099-C40C66FF867C}">
                  <a14:compatExt spid="_x0000_s26640"/>
                </a:ext>
                <a:ext uri="{FF2B5EF4-FFF2-40B4-BE49-F238E27FC236}">
                  <a16:creationId xmlns:a16="http://schemas.microsoft.com/office/drawing/2014/main" id="{00000000-0008-0000-1D00-00001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1" name="Button 17" hidden="1">
              <a:extLst>
                <a:ext uri="{63B3BB69-23CF-44E3-9099-C40C66FF867C}">
                  <a14:compatExt spid="_x0000_s26641"/>
                </a:ext>
                <a:ext uri="{FF2B5EF4-FFF2-40B4-BE49-F238E27FC236}">
                  <a16:creationId xmlns:a16="http://schemas.microsoft.com/office/drawing/2014/main" id="{00000000-0008-0000-1D00-00001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2" name="Button 18" hidden="1">
              <a:extLst>
                <a:ext uri="{63B3BB69-23CF-44E3-9099-C40C66FF867C}">
                  <a14:compatExt spid="_x0000_s26642"/>
                </a:ext>
                <a:ext uri="{FF2B5EF4-FFF2-40B4-BE49-F238E27FC236}">
                  <a16:creationId xmlns:a16="http://schemas.microsoft.com/office/drawing/2014/main" id="{00000000-0008-0000-1D00-00001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3" name="Button 19" hidden="1">
              <a:extLst>
                <a:ext uri="{63B3BB69-23CF-44E3-9099-C40C66FF867C}">
                  <a14:compatExt spid="_x0000_s26643"/>
                </a:ext>
                <a:ext uri="{FF2B5EF4-FFF2-40B4-BE49-F238E27FC236}">
                  <a16:creationId xmlns:a16="http://schemas.microsoft.com/office/drawing/2014/main" id="{00000000-0008-0000-1D00-00001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4" name="Button 20" hidden="1">
              <a:extLst>
                <a:ext uri="{63B3BB69-23CF-44E3-9099-C40C66FF867C}">
                  <a14:compatExt spid="_x0000_s26644"/>
                </a:ext>
                <a:ext uri="{FF2B5EF4-FFF2-40B4-BE49-F238E27FC236}">
                  <a16:creationId xmlns:a16="http://schemas.microsoft.com/office/drawing/2014/main" id="{00000000-0008-0000-1D00-00001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5" name="Button 21" hidden="1">
              <a:extLst>
                <a:ext uri="{63B3BB69-23CF-44E3-9099-C40C66FF867C}">
                  <a14:compatExt spid="_x0000_s26645"/>
                </a:ext>
                <a:ext uri="{FF2B5EF4-FFF2-40B4-BE49-F238E27FC236}">
                  <a16:creationId xmlns:a16="http://schemas.microsoft.com/office/drawing/2014/main" id="{00000000-0008-0000-1D00-00001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6" name="Button 22" hidden="1">
              <a:extLst>
                <a:ext uri="{63B3BB69-23CF-44E3-9099-C40C66FF867C}">
                  <a14:compatExt spid="_x0000_s26646"/>
                </a:ext>
                <a:ext uri="{FF2B5EF4-FFF2-40B4-BE49-F238E27FC236}">
                  <a16:creationId xmlns:a16="http://schemas.microsoft.com/office/drawing/2014/main" id="{00000000-0008-0000-1D00-00001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7" name="Button 23" hidden="1">
              <a:extLst>
                <a:ext uri="{63B3BB69-23CF-44E3-9099-C40C66FF867C}">
                  <a14:compatExt spid="_x0000_s26647"/>
                </a:ext>
                <a:ext uri="{FF2B5EF4-FFF2-40B4-BE49-F238E27FC236}">
                  <a16:creationId xmlns:a16="http://schemas.microsoft.com/office/drawing/2014/main" id="{00000000-0008-0000-1D00-00001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8" name="Button 24" hidden="1">
              <a:extLst>
                <a:ext uri="{63B3BB69-23CF-44E3-9099-C40C66FF867C}">
                  <a14:compatExt spid="_x0000_s26648"/>
                </a:ext>
                <a:ext uri="{FF2B5EF4-FFF2-40B4-BE49-F238E27FC236}">
                  <a16:creationId xmlns:a16="http://schemas.microsoft.com/office/drawing/2014/main" id="{00000000-0008-0000-1D00-00001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9" name="Button 25" hidden="1">
              <a:extLst>
                <a:ext uri="{63B3BB69-23CF-44E3-9099-C40C66FF867C}">
                  <a14:compatExt spid="_x0000_s26649"/>
                </a:ext>
                <a:ext uri="{FF2B5EF4-FFF2-40B4-BE49-F238E27FC236}">
                  <a16:creationId xmlns:a16="http://schemas.microsoft.com/office/drawing/2014/main" id="{00000000-0008-0000-1D00-00001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50" name="Button 26" hidden="1">
              <a:extLst>
                <a:ext uri="{63B3BB69-23CF-44E3-9099-C40C66FF867C}">
                  <a14:compatExt spid="_x0000_s26650"/>
                </a:ext>
                <a:ext uri="{FF2B5EF4-FFF2-40B4-BE49-F238E27FC236}">
                  <a16:creationId xmlns:a16="http://schemas.microsoft.com/office/drawing/2014/main" id="{00000000-0008-0000-1D00-00001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1" name="Button 27" hidden="1">
              <a:extLst>
                <a:ext uri="{63B3BB69-23CF-44E3-9099-C40C66FF867C}">
                  <a14:compatExt spid="_x0000_s26651"/>
                </a:ext>
                <a:ext uri="{FF2B5EF4-FFF2-40B4-BE49-F238E27FC236}">
                  <a16:creationId xmlns:a16="http://schemas.microsoft.com/office/drawing/2014/main" id="{00000000-0008-0000-1D00-00001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2" name="Button 28" hidden="1">
              <a:extLst>
                <a:ext uri="{63B3BB69-23CF-44E3-9099-C40C66FF867C}">
                  <a14:compatExt spid="_x0000_s26652"/>
                </a:ext>
                <a:ext uri="{FF2B5EF4-FFF2-40B4-BE49-F238E27FC236}">
                  <a16:creationId xmlns:a16="http://schemas.microsoft.com/office/drawing/2014/main" id="{00000000-0008-0000-1D00-00001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3" name="Button 29" hidden="1">
              <a:extLst>
                <a:ext uri="{63B3BB69-23CF-44E3-9099-C40C66FF867C}">
                  <a14:compatExt spid="_x0000_s26653"/>
                </a:ext>
                <a:ext uri="{FF2B5EF4-FFF2-40B4-BE49-F238E27FC236}">
                  <a16:creationId xmlns:a16="http://schemas.microsoft.com/office/drawing/2014/main" id="{00000000-0008-0000-1D00-00001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4" name="Button 30" hidden="1">
              <a:extLst>
                <a:ext uri="{63B3BB69-23CF-44E3-9099-C40C66FF867C}">
                  <a14:compatExt spid="_x0000_s26654"/>
                </a:ext>
                <a:ext uri="{FF2B5EF4-FFF2-40B4-BE49-F238E27FC236}">
                  <a16:creationId xmlns:a16="http://schemas.microsoft.com/office/drawing/2014/main" id="{00000000-0008-0000-1D00-00001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5" name="Button 31" hidden="1">
              <a:extLst>
                <a:ext uri="{63B3BB69-23CF-44E3-9099-C40C66FF867C}">
                  <a14:compatExt spid="_x0000_s26655"/>
                </a:ext>
                <a:ext uri="{FF2B5EF4-FFF2-40B4-BE49-F238E27FC236}">
                  <a16:creationId xmlns:a16="http://schemas.microsoft.com/office/drawing/2014/main" id="{00000000-0008-0000-1D00-00001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6" name="Button 32" hidden="1">
              <a:extLst>
                <a:ext uri="{63B3BB69-23CF-44E3-9099-C40C66FF867C}">
                  <a14:compatExt spid="_x0000_s26656"/>
                </a:ext>
                <a:ext uri="{FF2B5EF4-FFF2-40B4-BE49-F238E27FC236}">
                  <a16:creationId xmlns:a16="http://schemas.microsoft.com/office/drawing/2014/main" id="{00000000-0008-0000-1D00-00002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7" name="Button 33" hidden="1">
              <a:extLst>
                <a:ext uri="{63B3BB69-23CF-44E3-9099-C40C66FF867C}">
                  <a14:compatExt spid="_x0000_s26657"/>
                </a:ext>
                <a:ext uri="{FF2B5EF4-FFF2-40B4-BE49-F238E27FC236}">
                  <a16:creationId xmlns:a16="http://schemas.microsoft.com/office/drawing/2014/main" id="{00000000-0008-0000-1D00-00002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8" name="Button 34" hidden="1">
              <a:extLst>
                <a:ext uri="{63B3BB69-23CF-44E3-9099-C40C66FF867C}">
                  <a14:compatExt spid="_x0000_s26658"/>
                </a:ext>
                <a:ext uri="{FF2B5EF4-FFF2-40B4-BE49-F238E27FC236}">
                  <a16:creationId xmlns:a16="http://schemas.microsoft.com/office/drawing/2014/main" id="{00000000-0008-0000-1D00-00002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59" name="Button 35" hidden="1">
              <a:extLst>
                <a:ext uri="{63B3BB69-23CF-44E3-9099-C40C66FF867C}">
                  <a14:compatExt spid="_x0000_s26659"/>
                </a:ext>
                <a:ext uri="{FF2B5EF4-FFF2-40B4-BE49-F238E27FC236}">
                  <a16:creationId xmlns:a16="http://schemas.microsoft.com/office/drawing/2014/main" id="{00000000-0008-0000-1D00-00002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0" name="Button 36" hidden="1">
              <a:extLst>
                <a:ext uri="{63B3BB69-23CF-44E3-9099-C40C66FF867C}">
                  <a14:compatExt spid="_x0000_s26660"/>
                </a:ext>
                <a:ext uri="{FF2B5EF4-FFF2-40B4-BE49-F238E27FC236}">
                  <a16:creationId xmlns:a16="http://schemas.microsoft.com/office/drawing/2014/main" id="{00000000-0008-0000-1D00-00002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1" name="Button 37" hidden="1">
              <a:extLst>
                <a:ext uri="{63B3BB69-23CF-44E3-9099-C40C66FF867C}">
                  <a14:compatExt spid="_x0000_s26661"/>
                </a:ext>
                <a:ext uri="{FF2B5EF4-FFF2-40B4-BE49-F238E27FC236}">
                  <a16:creationId xmlns:a16="http://schemas.microsoft.com/office/drawing/2014/main" id="{00000000-0008-0000-1D00-00002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2" name="Button 38" hidden="1">
              <a:extLst>
                <a:ext uri="{63B3BB69-23CF-44E3-9099-C40C66FF867C}">
                  <a14:compatExt spid="_x0000_s26662"/>
                </a:ext>
                <a:ext uri="{FF2B5EF4-FFF2-40B4-BE49-F238E27FC236}">
                  <a16:creationId xmlns:a16="http://schemas.microsoft.com/office/drawing/2014/main" id="{00000000-0008-0000-1D00-00002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3" name="Button 39" hidden="1">
              <a:extLst>
                <a:ext uri="{63B3BB69-23CF-44E3-9099-C40C66FF867C}">
                  <a14:compatExt spid="_x0000_s26663"/>
                </a:ext>
                <a:ext uri="{FF2B5EF4-FFF2-40B4-BE49-F238E27FC236}">
                  <a16:creationId xmlns:a16="http://schemas.microsoft.com/office/drawing/2014/main" id="{00000000-0008-0000-1D00-00002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4" name="Button 40" hidden="1">
              <a:extLst>
                <a:ext uri="{63B3BB69-23CF-44E3-9099-C40C66FF867C}">
                  <a14:compatExt spid="_x0000_s26664"/>
                </a:ext>
                <a:ext uri="{FF2B5EF4-FFF2-40B4-BE49-F238E27FC236}">
                  <a16:creationId xmlns:a16="http://schemas.microsoft.com/office/drawing/2014/main" id="{00000000-0008-0000-1D00-00002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5" name="Button 41" hidden="1">
              <a:extLst>
                <a:ext uri="{63B3BB69-23CF-44E3-9099-C40C66FF867C}">
                  <a14:compatExt spid="_x0000_s26665"/>
                </a:ext>
                <a:ext uri="{FF2B5EF4-FFF2-40B4-BE49-F238E27FC236}">
                  <a16:creationId xmlns:a16="http://schemas.microsoft.com/office/drawing/2014/main" id="{00000000-0008-0000-1D00-00002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6" name="Button 42" hidden="1">
              <a:extLst>
                <a:ext uri="{63B3BB69-23CF-44E3-9099-C40C66FF867C}">
                  <a14:compatExt spid="_x0000_s26666"/>
                </a:ext>
                <a:ext uri="{FF2B5EF4-FFF2-40B4-BE49-F238E27FC236}">
                  <a16:creationId xmlns:a16="http://schemas.microsoft.com/office/drawing/2014/main" id="{00000000-0008-0000-1D00-00002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7" name="Button 43" hidden="1">
              <a:extLst>
                <a:ext uri="{63B3BB69-23CF-44E3-9099-C40C66FF867C}">
                  <a14:compatExt spid="_x0000_s26667"/>
                </a:ext>
                <a:ext uri="{FF2B5EF4-FFF2-40B4-BE49-F238E27FC236}">
                  <a16:creationId xmlns:a16="http://schemas.microsoft.com/office/drawing/2014/main" id="{00000000-0008-0000-1D00-00002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8" name="Button 44" hidden="1">
              <a:extLst>
                <a:ext uri="{63B3BB69-23CF-44E3-9099-C40C66FF867C}">
                  <a14:compatExt spid="_x0000_s26668"/>
                </a:ext>
                <a:ext uri="{FF2B5EF4-FFF2-40B4-BE49-F238E27FC236}">
                  <a16:creationId xmlns:a16="http://schemas.microsoft.com/office/drawing/2014/main" id="{00000000-0008-0000-1D00-00002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9" name="Button 45" hidden="1">
              <a:extLst>
                <a:ext uri="{63B3BB69-23CF-44E3-9099-C40C66FF867C}">
                  <a14:compatExt spid="_x0000_s26669"/>
                </a:ext>
                <a:ext uri="{FF2B5EF4-FFF2-40B4-BE49-F238E27FC236}">
                  <a16:creationId xmlns:a16="http://schemas.microsoft.com/office/drawing/2014/main" id="{00000000-0008-0000-1D00-00002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70" name="Button 46" hidden="1">
              <a:extLst>
                <a:ext uri="{63B3BB69-23CF-44E3-9099-C40C66FF867C}">
                  <a14:compatExt spid="_x0000_s26670"/>
                </a:ext>
                <a:ext uri="{FF2B5EF4-FFF2-40B4-BE49-F238E27FC236}">
                  <a16:creationId xmlns:a16="http://schemas.microsoft.com/office/drawing/2014/main" id="{00000000-0008-0000-1D00-00002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1" name="Button 47" hidden="1">
              <a:extLst>
                <a:ext uri="{63B3BB69-23CF-44E3-9099-C40C66FF867C}">
                  <a14:compatExt spid="_x0000_s26671"/>
                </a:ext>
                <a:ext uri="{FF2B5EF4-FFF2-40B4-BE49-F238E27FC236}">
                  <a16:creationId xmlns:a16="http://schemas.microsoft.com/office/drawing/2014/main" id="{00000000-0008-0000-1D00-00002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2" name="Button 48" hidden="1">
              <a:extLst>
                <a:ext uri="{63B3BB69-23CF-44E3-9099-C40C66FF867C}">
                  <a14:compatExt spid="_x0000_s26672"/>
                </a:ext>
                <a:ext uri="{FF2B5EF4-FFF2-40B4-BE49-F238E27FC236}">
                  <a16:creationId xmlns:a16="http://schemas.microsoft.com/office/drawing/2014/main" id="{00000000-0008-0000-1D00-00003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3" name="Button 49" hidden="1">
              <a:extLst>
                <a:ext uri="{63B3BB69-23CF-44E3-9099-C40C66FF867C}">
                  <a14:compatExt spid="_x0000_s26673"/>
                </a:ext>
                <a:ext uri="{FF2B5EF4-FFF2-40B4-BE49-F238E27FC236}">
                  <a16:creationId xmlns:a16="http://schemas.microsoft.com/office/drawing/2014/main" id="{00000000-0008-0000-1D00-00003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4" name="Button 50" hidden="1">
              <a:extLst>
                <a:ext uri="{63B3BB69-23CF-44E3-9099-C40C66FF867C}">
                  <a14:compatExt spid="_x0000_s26674"/>
                </a:ext>
                <a:ext uri="{FF2B5EF4-FFF2-40B4-BE49-F238E27FC236}">
                  <a16:creationId xmlns:a16="http://schemas.microsoft.com/office/drawing/2014/main" id="{00000000-0008-0000-1D00-00003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5" name="Button 51" hidden="1">
              <a:extLst>
                <a:ext uri="{63B3BB69-23CF-44E3-9099-C40C66FF867C}">
                  <a14:compatExt spid="_x0000_s26675"/>
                </a:ext>
                <a:ext uri="{FF2B5EF4-FFF2-40B4-BE49-F238E27FC236}">
                  <a16:creationId xmlns:a16="http://schemas.microsoft.com/office/drawing/2014/main" id="{00000000-0008-0000-1D00-00003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6" name="Button 52" hidden="1">
              <a:extLst>
                <a:ext uri="{63B3BB69-23CF-44E3-9099-C40C66FF867C}">
                  <a14:compatExt spid="_x0000_s26676"/>
                </a:ext>
                <a:ext uri="{FF2B5EF4-FFF2-40B4-BE49-F238E27FC236}">
                  <a16:creationId xmlns:a16="http://schemas.microsoft.com/office/drawing/2014/main" id="{00000000-0008-0000-1D00-00003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7" name="Button 53" hidden="1">
              <a:extLst>
                <a:ext uri="{63B3BB69-23CF-44E3-9099-C40C66FF867C}">
                  <a14:compatExt spid="_x0000_s26677"/>
                </a:ext>
                <a:ext uri="{FF2B5EF4-FFF2-40B4-BE49-F238E27FC236}">
                  <a16:creationId xmlns:a16="http://schemas.microsoft.com/office/drawing/2014/main" id="{00000000-0008-0000-1D00-00003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8" name="Button 54" hidden="1">
              <a:extLst>
                <a:ext uri="{63B3BB69-23CF-44E3-9099-C40C66FF867C}">
                  <a14:compatExt spid="_x0000_s26678"/>
                </a:ext>
                <a:ext uri="{FF2B5EF4-FFF2-40B4-BE49-F238E27FC236}">
                  <a16:creationId xmlns:a16="http://schemas.microsoft.com/office/drawing/2014/main" id="{00000000-0008-0000-1D00-00003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79" name="Button 55" hidden="1">
              <a:extLst>
                <a:ext uri="{63B3BB69-23CF-44E3-9099-C40C66FF867C}">
                  <a14:compatExt spid="_x0000_s26679"/>
                </a:ext>
                <a:ext uri="{FF2B5EF4-FFF2-40B4-BE49-F238E27FC236}">
                  <a16:creationId xmlns:a16="http://schemas.microsoft.com/office/drawing/2014/main" id="{00000000-0008-0000-1D00-00003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0" name="Button 56" hidden="1">
              <a:extLst>
                <a:ext uri="{63B3BB69-23CF-44E3-9099-C40C66FF867C}">
                  <a14:compatExt spid="_x0000_s26680"/>
                </a:ext>
                <a:ext uri="{FF2B5EF4-FFF2-40B4-BE49-F238E27FC236}">
                  <a16:creationId xmlns:a16="http://schemas.microsoft.com/office/drawing/2014/main" id="{00000000-0008-0000-1D00-00003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1" name="Button 57" hidden="1">
              <a:extLst>
                <a:ext uri="{63B3BB69-23CF-44E3-9099-C40C66FF867C}">
                  <a14:compatExt spid="_x0000_s26681"/>
                </a:ext>
                <a:ext uri="{FF2B5EF4-FFF2-40B4-BE49-F238E27FC236}">
                  <a16:creationId xmlns:a16="http://schemas.microsoft.com/office/drawing/2014/main" id="{00000000-0008-0000-1D00-00003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2" name="Button 58" hidden="1">
              <a:extLst>
                <a:ext uri="{63B3BB69-23CF-44E3-9099-C40C66FF867C}">
                  <a14:compatExt spid="_x0000_s26682"/>
                </a:ext>
                <a:ext uri="{FF2B5EF4-FFF2-40B4-BE49-F238E27FC236}">
                  <a16:creationId xmlns:a16="http://schemas.microsoft.com/office/drawing/2014/main" id="{00000000-0008-0000-1D00-00003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E00-00000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27650" name="Button 2" hidden="1">
              <a:extLst>
                <a:ext uri="{63B3BB69-23CF-44E3-9099-C40C66FF867C}">
                  <a14:compatExt spid="_x0000_s27650"/>
                </a:ext>
                <a:ext uri="{FF2B5EF4-FFF2-40B4-BE49-F238E27FC236}">
                  <a16:creationId xmlns:a16="http://schemas.microsoft.com/office/drawing/2014/main" id="{00000000-0008-0000-1E00-00000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1" name="Button 3" hidden="1">
              <a:extLst>
                <a:ext uri="{63B3BB69-23CF-44E3-9099-C40C66FF867C}">
                  <a14:compatExt spid="_x0000_s27651"/>
                </a:ext>
                <a:ext uri="{FF2B5EF4-FFF2-40B4-BE49-F238E27FC236}">
                  <a16:creationId xmlns:a16="http://schemas.microsoft.com/office/drawing/2014/main" id="{00000000-0008-0000-1E00-00000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2" name="Button 4" hidden="1">
              <a:extLst>
                <a:ext uri="{63B3BB69-23CF-44E3-9099-C40C66FF867C}">
                  <a14:compatExt spid="_x0000_s27652"/>
                </a:ext>
                <a:ext uri="{FF2B5EF4-FFF2-40B4-BE49-F238E27FC236}">
                  <a16:creationId xmlns:a16="http://schemas.microsoft.com/office/drawing/2014/main" id="{00000000-0008-0000-1E00-00000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3" name="Button 5" hidden="1">
              <a:extLst>
                <a:ext uri="{63B3BB69-23CF-44E3-9099-C40C66FF867C}">
                  <a14:compatExt spid="_x0000_s27653"/>
                </a:ext>
                <a:ext uri="{FF2B5EF4-FFF2-40B4-BE49-F238E27FC236}">
                  <a16:creationId xmlns:a16="http://schemas.microsoft.com/office/drawing/2014/main" id="{00000000-0008-0000-1E00-00000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4" name="Button 6" hidden="1">
              <a:extLst>
                <a:ext uri="{63B3BB69-23CF-44E3-9099-C40C66FF867C}">
                  <a14:compatExt spid="_x0000_s27654"/>
                </a:ext>
                <a:ext uri="{FF2B5EF4-FFF2-40B4-BE49-F238E27FC236}">
                  <a16:creationId xmlns:a16="http://schemas.microsoft.com/office/drawing/2014/main" id="{00000000-0008-0000-1E00-00000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5" name="Button 7" hidden="1">
              <a:extLst>
                <a:ext uri="{63B3BB69-23CF-44E3-9099-C40C66FF867C}">
                  <a14:compatExt spid="_x0000_s27655"/>
                </a:ext>
                <a:ext uri="{FF2B5EF4-FFF2-40B4-BE49-F238E27FC236}">
                  <a16:creationId xmlns:a16="http://schemas.microsoft.com/office/drawing/2014/main" id="{00000000-0008-0000-1E00-00000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6" name="Button 8" hidden="1">
              <a:extLst>
                <a:ext uri="{63B3BB69-23CF-44E3-9099-C40C66FF867C}">
                  <a14:compatExt spid="_x0000_s27656"/>
                </a:ext>
                <a:ext uri="{FF2B5EF4-FFF2-40B4-BE49-F238E27FC236}">
                  <a16:creationId xmlns:a16="http://schemas.microsoft.com/office/drawing/2014/main" id="{00000000-0008-0000-1E00-00000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7" name="Button 9" hidden="1">
              <a:extLst>
                <a:ext uri="{63B3BB69-23CF-44E3-9099-C40C66FF867C}">
                  <a14:compatExt spid="_x0000_s27657"/>
                </a:ext>
                <a:ext uri="{FF2B5EF4-FFF2-40B4-BE49-F238E27FC236}">
                  <a16:creationId xmlns:a16="http://schemas.microsoft.com/office/drawing/2014/main" id="{00000000-0008-0000-1E00-00000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8" name="Button 10" hidden="1">
              <a:extLst>
                <a:ext uri="{63B3BB69-23CF-44E3-9099-C40C66FF867C}">
                  <a14:compatExt spid="_x0000_s27658"/>
                </a:ext>
                <a:ext uri="{FF2B5EF4-FFF2-40B4-BE49-F238E27FC236}">
                  <a16:creationId xmlns:a16="http://schemas.microsoft.com/office/drawing/2014/main" id="{00000000-0008-0000-1E00-00000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59" name="Button 11" hidden="1">
              <a:extLst>
                <a:ext uri="{63B3BB69-23CF-44E3-9099-C40C66FF867C}">
                  <a14:compatExt spid="_x0000_s27659"/>
                </a:ext>
                <a:ext uri="{FF2B5EF4-FFF2-40B4-BE49-F238E27FC236}">
                  <a16:creationId xmlns:a16="http://schemas.microsoft.com/office/drawing/2014/main" id="{00000000-0008-0000-1E00-00000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0" name="Button 12" hidden="1">
              <a:extLst>
                <a:ext uri="{63B3BB69-23CF-44E3-9099-C40C66FF867C}">
                  <a14:compatExt spid="_x0000_s27660"/>
                </a:ext>
                <a:ext uri="{FF2B5EF4-FFF2-40B4-BE49-F238E27FC236}">
                  <a16:creationId xmlns:a16="http://schemas.microsoft.com/office/drawing/2014/main" id="{00000000-0008-0000-1E00-00000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1" name="Button 13" hidden="1">
              <a:extLst>
                <a:ext uri="{63B3BB69-23CF-44E3-9099-C40C66FF867C}">
                  <a14:compatExt spid="_x0000_s27661"/>
                </a:ext>
                <a:ext uri="{FF2B5EF4-FFF2-40B4-BE49-F238E27FC236}">
                  <a16:creationId xmlns:a16="http://schemas.microsoft.com/office/drawing/2014/main" id="{00000000-0008-0000-1E00-00000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2" name="Button 14" hidden="1">
              <a:extLst>
                <a:ext uri="{63B3BB69-23CF-44E3-9099-C40C66FF867C}">
                  <a14:compatExt spid="_x0000_s27662"/>
                </a:ext>
                <a:ext uri="{FF2B5EF4-FFF2-40B4-BE49-F238E27FC236}">
                  <a16:creationId xmlns:a16="http://schemas.microsoft.com/office/drawing/2014/main" id="{00000000-0008-0000-1E00-00000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3" name="Button 15" hidden="1">
              <a:extLst>
                <a:ext uri="{63B3BB69-23CF-44E3-9099-C40C66FF867C}">
                  <a14:compatExt spid="_x0000_s27663"/>
                </a:ext>
                <a:ext uri="{FF2B5EF4-FFF2-40B4-BE49-F238E27FC236}">
                  <a16:creationId xmlns:a16="http://schemas.microsoft.com/office/drawing/2014/main" id="{00000000-0008-0000-1E00-00000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4" name="Button 16" hidden="1">
              <a:extLst>
                <a:ext uri="{63B3BB69-23CF-44E3-9099-C40C66FF867C}">
                  <a14:compatExt spid="_x0000_s27664"/>
                </a:ext>
                <a:ext uri="{FF2B5EF4-FFF2-40B4-BE49-F238E27FC236}">
                  <a16:creationId xmlns:a16="http://schemas.microsoft.com/office/drawing/2014/main" id="{00000000-0008-0000-1E00-00001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5" name="Button 17" hidden="1">
              <a:extLst>
                <a:ext uri="{63B3BB69-23CF-44E3-9099-C40C66FF867C}">
                  <a14:compatExt spid="_x0000_s27665"/>
                </a:ext>
                <a:ext uri="{FF2B5EF4-FFF2-40B4-BE49-F238E27FC236}">
                  <a16:creationId xmlns:a16="http://schemas.microsoft.com/office/drawing/2014/main" id="{00000000-0008-0000-1E00-00001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E00-00001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E00-00001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E00-00001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E00-00001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E00-00001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1" name="Button 23" hidden="1">
              <a:extLst>
                <a:ext uri="{63B3BB69-23CF-44E3-9099-C40C66FF867C}">
                  <a14:compatExt spid="_x0000_s27671"/>
                </a:ext>
                <a:ext uri="{FF2B5EF4-FFF2-40B4-BE49-F238E27FC236}">
                  <a16:creationId xmlns:a16="http://schemas.microsoft.com/office/drawing/2014/main" id="{00000000-0008-0000-1E00-00001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2" name="Button 24" hidden="1">
              <a:extLst>
                <a:ext uri="{63B3BB69-23CF-44E3-9099-C40C66FF867C}">
                  <a14:compatExt spid="_x0000_s27672"/>
                </a:ext>
                <a:ext uri="{FF2B5EF4-FFF2-40B4-BE49-F238E27FC236}">
                  <a16:creationId xmlns:a16="http://schemas.microsoft.com/office/drawing/2014/main" id="{00000000-0008-0000-1E00-00001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3" name="Button 25" hidden="1">
              <a:extLst>
                <a:ext uri="{63B3BB69-23CF-44E3-9099-C40C66FF867C}">
                  <a14:compatExt spid="_x0000_s27673"/>
                </a:ext>
                <a:ext uri="{FF2B5EF4-FFF2-40B4-BE49-F238E27FC236}">
                  <a16:creationId xmlns:a16="http://schemas.microsoft.com/office/drawing/2014/main" id="{00000000-0008-0000-1E00-00001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4" name="Button 26" hidden="1">
              <a:extLst>
                <a:ext uri="{63B3BB69-23CF-44E3-9099-C40C66FF867C}">
                  <a14:compatExt spid="_x0000_s27674"/>
                </a:ext>
                <a:ext uri="{FF2B5EF4-FFF2-40B4-BE49-F238E27FC236}">
                  <a16:creationId xmlns:a16="http://schemas.microsoft.com/office/drawing/2014/main" id="{00000000-0008-0000-1E00-00001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5" name="Button 27" hidden="1">
              <a:extLst>
                <a:ext uri="{63B3BB69-23CF-44E3-9099-C40C66FF867C}">
                  <a14:compatExt spid="_x0000_s27675"/>
                </a:ext>
                <a:ext uri="{FF2B5EF4-FFF2-40B4-BE49-F238E27FC236}">
                  <a16:creationId xmlns:a16="http://schemas.microsoft.com/office/drawing/2014/main" id="{00000000-0008-0000-1E00-00001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6" name="Button 28" hidden="1">
              <a:extLst>
                <a:ext uri="{63B3BB69-23CF-44E3-9099-C40C66FF867C}">
                  <a14:compatExt spid="_x0000_s27676"/>
                </a:ext>
                <a:ext uri="{FF2B5EF4-FFF2-40B4-BE49-F238E27FC236}">
                  <a16:creationId xmlns:a16="http://schemas.microsoft.com/office/drawing/2014/main" id="{00000000-0008-0000-1E00-00001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7" name="Button 29" hidden="1">
              <a:extLst>
                <a:ext uri="{63B3BB69-23CF-44E3-9099-C40C66FF867C}">
                  <a14:compatExt spid="_x0000_s27677"/>
                </a:ext>
                <a:ext uri="{FF2B5EF4-FFF2-40B4-BE49-F238E27FC236}">
                  <a16:creationId xmlns:a16="http://schemas.microsoft.com/office/drawing/2014/main" id="{00000000-0008-0000-1E00-00001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8" name="Button 30" hidden="1">
              <a:extLst>
                <a:ext uri="{63B3BB69-23CF-44E3-9099-C40C66FF867C}">
                  <a14:compatExt spid="_x0000_s27678"/>
                </a:ext>
                <a:ext uri="{FF2B5EF4-FFF2-40B4-BE49-F238E27FC236}">
                  <a16:creationId xmlns:a16="http://schemas.microsoft.com/office/drawing/2014/main" id="{00000000-0008-0000-1E00-00001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E00-00001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E00-00002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E00-00002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E00-00002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E00-00002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E00-00002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E00-00002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E00-00002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E00-00002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E00-00002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E00-00002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E00-00002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E00-00002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E00-00002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E00-00002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E00-00002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E00-00002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E00-00003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E00-00003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E00-00003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E00-00003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E00-00003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E00-00003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E00-00003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E00-00003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E00-00003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E00-00003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E00-00003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8673" name="Button 1" hidden="1">
              <a:extLst>
                <a:ext uri="{63B3BB69-23CF-44E3-9099-C40C66FF867C}">
                  <a14:compatExt spid="_x0000_s28673"/>
                </a:ext>
                <a:ext uri="{FF2B5EF4-FFF2-40B4-BE49-F238E27FC236}">
                  <a16:creationId xmlns:a16="http://schemas.microsoft.com/office/drawing/2014/main" id="{00000000-0008-0000-1F00-00000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28674" name="Button 2" hidden="1">
              <a:extLst>
                <a:ext uri="{63B3BB69-23CF-44E3-9099-C40C66FF867C}">
                  <a14:compatExt spid="_x0000_s28674"/>
                </a:ext>
                <a:ext uri="{FF2B5EF4-FFF2-40B4-BE49-F238E27FC236}">
                  <a16:creationId xmlns:a16="http://schemas.microsoft.com/office/drawing/2014/main" id="{00000000-0008-0000-1F00-00000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5" name="Button 3" hidden="1">
              <a:extLst>
                <a:ext uri="{63B3BB69-23CF-44E3-9099-C40C66FF867C}">
                  <a14:compatExt spid="_x0000_s28675"/>
                </a:ext>
                <a:ext uri="{FF2B5EF4-FFF2-40B4-BE49-F238E27FC236}">
                  <a16:creationId xmlns:a16="http://schemas.microsoft.com/office/drawing/2014/main" id="{00000000-0008-0000-1F00-00000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6" name="Button 4" hidden="1">
              <a:extLst>
                <a:ext uri="{63B3BB69-23CF-44E3-9099-C40C66FF867C}">
                  <a14:compatExt spid="_x0000_s28676"/>
                </a:ext>
                <a:ext uri="{FF2B5EF4-FFF2-40B4-BE49-F238E27FC236}">
                  <a16:creationId xmlns:a16="http://schemas.microsoft.com/office/drawing/2014/main" id="{00000000-0008-0000-1F00-00000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7" name="Button 5" hidden="1">
              <a:extLst>
                <a:ext uri="{63B3BB69-23CF-44E3-9099-C40C66FF867C}">
                  <a14:compatExt spid="_x0000_s28677"/>
                </a:ext>
                <a:ext uri="{FF2B5EF4-FFF2-40B4-BE49-F238E27FC236}">
                  <a16:creationId xmlns:a16="http://schemas.microsoft.com/office/drawing/2014/main" id="{00000000-0008-0000-1F00-00000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8" name="Button 6" hidden="1">
              <a:extLst>
                <a:ext uri="{63B3BB69-23CF-44E3-9099-C40C66FF867C}">
                  <a14:compatExt spid="_x0000_s28678"/>
                </a:ext>
                <a:ext uri="{FF2B5EF4-FFF2-40B4-BE49-F238E27FC236}">
                  <a16:creationId xmlns:a16="http://schemas.microsoft.com/office/drawing/2014/main" id="{00000000-0008-0000-1F00-00000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79" name="Button 7" hidden="1">
              <a:extLst>
                <a:ext uri="{63B3BB69-23CF-44E3-9099-C40C66FF867C}">
                  <a14:compatExt spid="_x0000_s28679"/>
                </a:ext>
                <a:ext uri="{FF2B5EF4-FFF2-40B4-BE49-F238E27FC236}">
                  <a16:creationId xmlns:a16="http://schemas.microsoft.com/office/drawing/2014/main" id="{00000000-0008-0000-1F00-00000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0" name="Button 8" hidden="1">
              <a:extLst>
                <a:ext uri="{63B3BB69-23CF-44E3-9099-C40C66FF867C}">
                  <a14:compatExt spid="_x0000_s28680"/>
                </a:ext>
                <a:ext uri="{FF2B5EF4-FFF2-40B4-BE49-F238E27FC236}">
                  <a16:creationId xmlns:a16="http://schemas.microsoft.com/office/drawing/2014/main" id="{00000000-0008-0000-1F00-00000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1" name="Button 9" hidden="1">
              <a:extLst>
                <a:ext uri="{63B3BB69-23CF-44E3-9099-C40C66FF867C}">
                  <a14:compatExt spid="_x0000_s28681"/>
                </a:ext>
                <a:ext uri="{FF2B5EF4-FFF2-40B4-BE49-F238E27FC236}">
                  <a16:creationId xmlns:a16="http://schemas.microsoft.com/office/drawing/2014/main" id="{00000000-0008-0000-1F00-00000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2" name="Button 10" hidden="1">
              <a:extLst>
                <a:ext uri="{63B3BB69-23CF-44E3-9099-C40C66FF867C}">
                  <a14:compatExt spid="_x0000_s28682"/>
                </a:ext>
                <a:ext uri="{FF2B5EF4-FFF2-40B4-BE49-F238E27FC236}">
                  <a16:creationId xmlns:a16="http://schemas.microsoft.com/office/drawing/2014/main" id="{00000000-0008-0000-1F00-00000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3" name="Button 11" hidden="1">
              <a:extLst>
                <a:ext uri="{63B3BB69-23CF-44E3-9099-C40C66FF867C}">
                  <a14:compatExt spid="_x0000_s28683"/>
                </a:ext>
                <a:ext uri="{FF2B5EF4-FFF2-40B4-BE49-F238E27FC236}">
                  <a16:creationId xmlns:a16="http://schemas.microsoft.com/office/drawing/2014/main" id="{00000000-0008-0000-1F00-00000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4" name="Button 12" hidden="1">
              <a:extLst>
                <a:ext uri="{63B3BB69-23CF-44E3-9099-C40C66FF867C}">
                  <a14:compatExt spid="_x0000_s28684"/>
                </a:ext>
                <a:ext uri="{FF2B5EF4-FFF2-40B4-BE49-F238E27FC236}">
                  <a16:creationId xmlns:a16="http://schemas.microsoft.com/office/drawing/2014/main" id="{00000000-0008-0000-1F00-00000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5" name="Button 13" hidden="1">
              <a:extLst>
                <a:ext uri="{63B3BB69-23CF-44E3-9099-C40C66FF867C}">
                  <a14:compatExt spid="_x0000_s28685"/>
                </a:ext>
                <a:ext uri="{FF2B5EF4-FFF2-40B4-BE49-F238E27FC236}">
                  <a16:creationId xmlns:a16="http://schemas.microsoft.com/office/drawing/2014/main" id="{00000000-0008-0000-1F00-00000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6" name="Button 14" hidden="1">
              <a:extLst>
                <a:ext uri="{63B3BB69-23CF-44E3-9099-C40C66FF867C}">
                  <a14:compatExt spid="_x0000_s28686"/>
                </a:ext>
                <a:ext uri="{FF2B5EF4-FFF2-40B4-BE49-F238E27FC236}">
                  <a16:creationId xmlns:a16="http://schemas.microsoft.com/office/drawing/2014/main" id="{00000000-0008-0000-1F00-00000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7" name="Button 15" hidden="1">
              <a:extLst>
                <a:ext uri="{63B3BB69-23CF-44E3-9099-C40C66FF867C}">
                  <a14:compatExt spid="_x0000_s28687"/>
                </a:ext>
                <a:ext uri="{FF2B5EF4-FFF2-40B4-BE49-F238E27FC236}">
                  <a16:creationId xmlns:a16="http://schemas.microsoft.com/office/drawing/2014/main" id="{00000000-0008-0000-1F00-00000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8" name="Button 16" hidden="1">
              <a:extLst>
                <a:ext uri="{63B3BB69-23CF-44E3-9099-C40C66FF867C}">
                  <a14:compatExt spid="_x0000_s28688"/>
                </a:ext>
                <a:ext uri="{FF2B5EF4-FFF2-40B4-BE49-F238E27FC236}">
                  <a16:creationId xmlns:a16="http://schemas.microsoft.com/office/drawing/2014/main" id="{00000000-0008-0000-1F00-00001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9" name="Button 17" hidden="1">
              <a:extLst>
                <a:ext uri="{63B3BB69-23CF-44E3-9099-C40C66FF867C}">
                  <a14:compatExt spid="_x0000_s28689"/>
                </a:ext>
                <a:ext uri="{FF2B5EF4-FFF2-40B4-BE49-F238E27FC236}">
                  <a16:creationId xmlns:a16="http://schemas.microsoft.com/office/drawing/2014/main" id="{00000000-0008-0000-1F00-00001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90" name="Button 18" hidden="1">
              <a:extLst>
                <a:ext uri="{63B3BB69-23CF-44E3-9099-C40C66FF867C}">
                  <a14:compatExt spid="_x0000_s28690"/>
                </a:ext>
                <a:ext uri="{FF2B5EF4-FFF2-40B4-BE49-F238E27FC236}">
                  <a16:creationId xmlns:a16="http://schemas.microsoft.com/office/drawing/2014/main" id="{00000000-0008-0000-1F00-00001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1" name="Button 19" hidden="1">
              <a:extLst>
                <a:ext uri="{63B3BB69-23CF-44E3-9099-C40C66FF867C}">
                  <a14:compatExt spid="_x0000_s28691"/>
                </a:ext>
                <a:ext uri="{FF2B5EF4-FFF2-40B4-BE49-F238E27FC236}">
                  <a16:creationId xmlns:a16="http://schemas.microsoft.com/office/drawing/2014/main" id="{00000000-0008-0000-1F00-00001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2" name="Button 20" hidden="1">
              <a:extLst>
                <a:ext uri="{63B3BB69-23CF-44E3-9099-C40C66FF867C}">
                  <a14:compatExt spid="_x0000_s28692"/>
                </a:ext>
                <a:ext uri="{FF2B5EF4-FFF2-40B4-BE49-F238E27FC236}">
                  <a16:creationId xmlns:a16="http://schemas.microsoft.com/office/drawing/2014/main" id="{00000000-0008-0000-1F00-00001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3" name="Button 21" hidden="1">
              <a:extLst>
                <a:ext uri="{63B3BB69-23CF-44E3-9099-C40C66FF867C}">
                  <a14:compatExt spid="_x0000_s28693"/>
                </a:ext>
                <a:ext uri="{FF2B5EF4-FFF2-40B4-BE49-F238E27FC236}">
                  <a16:creationId xmlns:a16="http://schemas.microsoft.com/office/drawing/2014/main" id="{00000000-0008-0000-1F00-00001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4" name="Button 22" hidden="1">
              <a:extLst>
                <a:ext uri="{63B3BB69-23CF-44E3-9099-C40C66FF867C}">
                  <a14:compatExt spid="_x0000_s28694"/>
                </a:ext>
                <a:ext uri="{FF2B5EF4-FFF2-40B4-BE49-F238E27FC236}">
                  <a16:creationId xmlns:a16="http://schemas.microsoft.com/office/drawing/2014/main" id="{00000000-0008-0000-1F00-00001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5" name="Button 23" hidden="1">
              <a:extLst>
                <a:ext uri="{63B3BB69-23CF-44E3-9099-C40C66FF867C}">
                  <a14:compatExt spid="_x0000_s28695"/>
                </a:ext>
                <a:ext uri="{FF2B5EF4-FFF2-40B4-BE49-F238E27FC236}">
                  <a16:creationId xmlns:a16="http://schemas.microsoft.com/office/drawing/2014/main" id="{00000000-0008-0000-1F00-00001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6" name="Button 24" hidden="1">
              <a:extLst>
                <a:ext uri="{63B3BB69-23CF-44E3-9099-C40C66FF867C}">
                  <a14:compatExt spid="_x0000_s28696"/>
                </a:ext>
                <a:ext uri="{FF2B5EF4-FFF2-40B4-BE49-F238E27FC236}">
                  <a16:creationId xmlns:a16="http://schemas.microsoft.com/office/drawing/2014/main" id="{00000000-0008-0000-1F00-00001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7" name="Button 25" hidden="1">
              <a:extLst>
                <a:ext uri="{63B3BB69-23CF-44E3-9099-C40C66FF867C}">
                  <a14:compatExt spid="_x0000_s28697"/>
                </a:ext>
                <a:ext uri="{FF2B5EF4-FFF2-40B4-BE49-F238E27FC236}">
                  <a16:creationId xmlns:a16="http://schemas.microsoft.com/office/drawing/2014/main" id="{00000000-0008-0000-1F00-00001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8" name="Button 26" hidden="1">
              <a:extLst>
                <a:ext uri="{63B3BB69-23CF-44E3-9099-C40C66FF867C}">
                  <a14:compatExt spid="_x0000_s28698"/>
                </a:ext>
                <a:ext uri="{FF2B5EF4-FFF2-40B4-BE49-F238E27FC236}">
                  <a16:creationId xmlns:a16="http://schemas.microsoft.com/office/drawing/2014/main" id="{00000000-0008-0000-1F00-00001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699" name="Button 27" hidden="1">
              <a:extLst>
                <a:ext uri="{63B3BB69-23CF-44E3-9099-C40C66FF867C}">
                  <a14:compatExt spid="_x0000_s28699"/>
                </a:ext>
                <a:ext uri="{FF2B5EF4-FFF2-40B4-BE49-F238E27FC236}">
                  <a16:creationId xmlns:a16="http://schemas.microsoft.com/office/drawing/2014/main" id="{00000000-0008-0000-1F00-00001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0" name="Button 28" hidden="1">
              <a:extLst>
                <a:ext uri="{63B3BB69-23CF-44E3-9099-C40C66FF867C}">
                  <a14:compatExt spid="_x0000_s28700"/>
                </a:ext>
                <a:ext uri="{FF2B5EF4-FFF2-40B4-BE49-F238E27FC236}">
                  <a16:creationId xmlns:a16="http://schemas.microsoft.com/office/drawing/2014/main" id="{00000000-0008-0000-1F00-00001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1" name="Button 29" hidden="1">
              <a:extLst>
                <a:ext uri="{63B3BB69-23CF-44E3-9099-C40C66FF867C}">
                  <a14:compatExt spid="_x0000_s28701"/>
                </a:ext>
                <a:ext uri="{FF2B5EF4-FFF2-40B4-BE49-F238E27FC236}">
                  <a16:creationId xmlns:a16="http://schemas.microsoft.com/office/drawing/2014/main" id="{00000000-0008-0000-1F00-00001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2" name="Button 30" hidden="1">
              <a:extLst>
                <a:ext uri="{63B3BB69-23CF-44E3-9099-C40C66FF867C}">
                  <a14:compatExt spid="_x0000_s28702"/>
                </a:ext>
                <a:ext uri="{FF2B5EF4-FFF2-40B4-BE49-F238E27FC236}">
                  <a16:creationId xmlns:a16="http://schemas.microsoft.com/office/drawing/2014/main" id="{00000000-0008-0000-1F00-00001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3" name="Button 31" hidden="1">
              <a:extLst>
                <a:ext uri="{63B3BB69-23CF-44E3-9099-C40C66FF867C}">
                  <a14:compatExt spid="_x0000_s28703"/>
                </a:ext>
                <a:ext uri="{FF2B5EF4-FFF2-40B4-BE49-F238E27FC236}">
                  <a16:creationId xmlns:a16="http://schemas.microsoft.com/office/drawing/2014/main" id="{00000000-0008-0000-1F00-00001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4" name="Button 32" hidden="1">
              <a:extLst>
                <a:ext uri="{63B3BB69-23CF-44E3-9099-C40C66FF867C}">
                  <a14:compatExt spid="_x0000_s28704"/>
                </a:ext>
                <a:ext uri="{FF2B5EF4-FFF2-40B4-BE49-F238E27FC236}">
                  <a16:creationId xmlns:a16="http://schemas.microsoft.com/office/drawing/2014/main" id="{00000000-0008-0000-1F00-00002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5" name="Button 33" hidden="1">
              <a:extLst>
                <a:ext uri="{63B3BB69-23CF-44E3-9099-C40C66FF867C}">
                  <a14:compatExt spid="_x0000_s28705"/>
                </a:ext>
                <a:ext uri="{FF2B5EF4-FFF2-40B4-BE49-F238E27FC236}">
                  <a16:creationId xmlns:a16="http://schemas.microsoft.com/office/drawing/2014/main" id="{00000000-0008-0000-1F00-00002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6" name="Button 34" hidden="1">
              <a:extLst>
                <a:ext uri="{63B3BB69-23CF-44E3-9099-C40C66FF867C}">
                  <a14:compatExt spid="_x0000_s28706"/>
                </a:ext>
                <a:ext uri="{FF2B5EF4-FFF2-40B4-BE49-F238E27FC236}">
                  <a16:creationId xmlns:a16="http://schemas.microsoft.com/office/drawing/2014/main" id="{00000000-0008-0000-1F00-00002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7" name="Button 35" hidden="1">
              <a:extLst>
                <a:ext uri="{63B3BB69-23CF-44E3-9099-C40C66FF867C}">
                  <a14:compatExt spid="_x0000_s28707"/>
                </a:ext>
                <a:ext uri="{FF2B5EF4-FFF2-40B4-BE49-F238E27FC236}">
                  <a16:creationId xmlns:a16="http://schemas.microsoft.com/office/drawing/2014/main" id="{00000000-0008-0000-1F00-00002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8" name="Button 36" hidden="1">
              <a:extLst>
                <a:ext uri="{63B3BB69-23CF-44E3-9099-C40C66FF867C}">
                  <a14:compatExt spid="_x0000_s28708"/>
                </a:ext>
                <a:ext uri="{FF2B5EF4-FFF2-40B4-BE49-F238E27FC236}">
                  <a16:creationId xmlns:a16="http://schemas.microsoft.com/office/drawing/2014/main" id="{00000000-0008-0000-1F00-00002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9" name="Button 37" hidden="1">
              <a:extLst>
                <a:ext uri="{63B3BB69-23CF-44E3-9099-C40C66FF867C}">
                  <a14:compatExt spid="_x0000_s28709"/>
                </a:ext>
                <a:ext uri="{FF2B5EF4-FFF2-40B4-BE49-F238E27FC236}">
                  <a16:creationId xmlns:a16="http://schemas.microsoft.com/office/drawing/2014/main" id="{00000000-0008-0000-1F00-00002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10" name="Button 38" hidden="1">
              <a:extLst>
                <a:ext uri="{63B3BB69-23CF-44E3-9099-C40C66FF867C}">
                  <a14:compatExt spid="_x0000_s28710"/>
                </a:ext>
                <a:ext uri="{FF2B5EF4-FFF2-40B4-BE49-F238E27FC236}">
                  <a16:creationId xmlns:a16="http://schemas.microsoft.com/office/drawing/2014/main" id="{00000000-0008-0000-1F00-00002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1" name="Button 39" hidden="1">
              <a:extLst>
                <a:ext uri="{63B3BB69-23CF-44E3-9099-C40C66FF867C}">
                  <a14:compatExt spid="_x0000_s28711"/>
                </a:ext>
                <a:ext uri="{FF2B5EF4-FFF2-40B4-BE49-F238E27FC236}">
                  <a16:creationId xmlns:a16="http://schemas.microsoft.com/office/drawing/2014/main" id="{00000000-0008-0000-1F00-00002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2" name="Button 40" hidden="1">
              <a:extLst>
                <a:ext uri="{63B3BB69-23CF-44E3-9099-C40C66FF867C}">
                  <a14:compatExt spid="_x0000_s28712"/>
                </a:ext>
                <a:ext uri="{FF2B5EF4-FFF2-40B4-BE49-F238E27FC236}">
                  <a16:creationId xmlns:a16="http://schemas.microsoft.com/office/drawing/2014/main" id="{00000000-0008-0000-1F00-00002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3" name="Button 41" hidden="1">
              <a:extLst>
                <a:ext uri="{63B3BB69-23CF-44E3-9099-C40C66FF867C}">
                  <a14:compatExt spid="_x0000_s28713"/>
                </a:ext>
                <a:ext uri="{FF2B5EF4-FFF2-40B4-BE49-F238E27FC236}">
                  <a16:creationId xmlns:a16="http://schemas.microsoft.com/office/drawing/2014/main" id="{00000000-0008-0000-1F00-00002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4" name="Button 42" hidden="1">
              <a:extLst>
                <a:ext uri="{63B3BB69-23CF-44E3-9099-C40C66FF867C}">
                  <a14:compatExt spid="_x0000_s28714"/>
                </a:ext>
                <a:ext uri="{FF2B5EF4-FFF2-40B4-BE49-F238E27FC236}">
                  <a16:creationId xmlns:a16="http://schemas.microsoft.com/office/drawing/2014/main" id="{00000000-0008-0000-1F00-00002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5" name="Button 43" hidden="1">
              <a:extLst>
                <a:ext uri="{63B3BB69-23CF-44E3-9099-C40C66FF867C}">
                  <a14:compatExt spid="_x0000_s28715"/>
                </a:ext>
                <a:ext uri="{FF2B5EF4-FFF2-40B4-BE49-F238E27FC236}">
                  <a16:creationId xmlns:a16="http://schemas.microsoft.com/office/drawing/2014/main" id="{00000000-0008-0000-1F00-00002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6" name="Button 44" hidden="1">
              <a:extLst>
                <a:ext uri="{63B3BB69-23CF-44E3-9099-C40C66FF867C}">
                  <a14:compatExt spid="_x0000_s28716"/>
                </a:ext>
                <a:ext uri="{FF2B5EF4-FFF2-40B4-BE49-F238E27FC236}">
                  <a16:creationId xmlns:a16="http://schemas.microsoft.com/office/drawing/2014/main" id="{00000000-0008-0000-1F00-00002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7" name="Button 45" hidden="1">
              <a:extLst>
                <a:ext uri="{63B3BB69-23CF-44E3-9099-C40C66FF867C}">
                  <a14:compatExt spid="_x0000_s28717"/>
                </a:ext>
                <a:ext uri="{FF2B5EF4-FFF2-40B4-BE49-F238E27FC236}">
                  <a16:creationId xmlns:a16="http://schemas.microsoft.com/office/drawing/2014/main" id="{00000000-0008-0000-1F00-00002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8" name="Button 46" hidden="1">
              <a:extLst>
                <a:ext uri="{63B3BB69-23CF-44E3-9099-C40C66FF867C}">
                  <a14:compatExt spid="_x0000_s28718"/>
                </a:ext>
                <a:ext uri="{FF2B5EF4-FFF2-40B4-BE49-F238E27FC236}">
                  <a16:creationId xmlns:a16="http://schemas.microsoft.com/office/drawing/2014/main" id="{00000000-0008-0000-1F00-00002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19" name="Button 47" hidden="1">
              <a:extLst>
                <a:ext uri="{63B3BB69-23CF-44E3-9099-C40C66FF867C}">
                  <a14:compatExt spid="_x0000_s28719"/>
                </a:ext>
                <a:ext uri="{FF2B5EF4-FFF2-40B4-BE49-F238E27FC236}">
                  <a16:creationId xmlns:a16="http://schemas.microsoft.com/office/drawing/2014/main" id="{00000000-0008-0000-1F00-00002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0" name="Button 48" hidden="1">
              <a:extLst>
                <a:ext uri="{63B3BB69-23CF-44E3-9099-C40C66FF867C}">
                  <a14:compatExt spid="_x0000_s28720"/>
                </a:ext>
                <a:ext uri="{FF2B5EF4-FFF2-40B4-BE49-F238E27FC236}">
                  <a16:creationId xmlns:a16="http://schemas.microsoft.com/office/drawing/2014/main" id="{00000000-0008-0000-1F00-00003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1" name="Button 49" hidden="1">
              <a:extLst>
                <a:ext uri="{63B3BB69-23CF-44E3-9099-C40C66FF867C}">
                  <a14:compatExt spid="_x0000_s28721"/>
                </a:ext>
                <a:ext uri="{FF2B5EF4-FFF2-40B4-BE49-F238E27FC236}">
                  <a16:creationId xmlns:a16="http://schemas.microsoft.com/office/drawing/2014/main" id="{00000000-0008-0000-1F00-00003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2" name="Button 50" hidden="1">
              <a:extLst>
                <a:ext uri="{63B3BB69-23CF-44E3-9099-C40C66FF867C}">
                  <a14:compatExt spid="_x0000_s28722"/>
                </a:ext>
                <a:ext uri="{FF2B5EF4-FFF2-40B4-BE49-F238E27FC236}">
                  <a16:creationId xmlns:a16="http://schemas.microsoft.com/office/drawing/2014/main" id="{00000000-0008-0000-1F00-00003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3" name="Button 51" hidden="1">
              <a:extLst>
                <a:ext uri="{63B3BB69-23CF-44E3-9099-C40C66FF867C}">
                  <a14:compatExt spid="_x0000_s28723"/>
                </a:ext>
                <a:ext uri="{FF2B5EF4-FFF2-40B4-BE49-F238E27FC236}">
                  <a16:creationId xmlns:a16="http://schemas.microsoft.com/office/drawing/2014/main" id="{00000000-0008-0000-1F00-00003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4" name="Button 52" hidden="1">
              <a:extLst>
                <a:ext uri="{63B3BB69-23CF-44E3-9099-C40C66FF867C}">
                  <a14:compatExt spid="_x0000_s28724"/>
                </a:ext>
                <a:ext uri="{FF2B5EF4-FFF2-40B4-BE49-F238E27FC236}">
                  <a16:creationId xmlns:a16="http://schemas.microsoft.com/office/drawing/2014/main" id="{00000000-0008-0000-1F00-00003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5" name="Button 53" hidden="1">
              <a:extLst>
                <a:ext uri="{63B3BB69-23CF-44E3-9099-C40C66FF867C}">
                  <a14:compatExt spid="_x0000_s28725"/>
                </a:ext>
                <a:ext uri="{FF2B5EF4-FFF2-40B4-BE49-F238E27FC236}">
                  <a16:creationId xmlns:a16="http://schemas.microsoft.com/office/drawing/2014/main" id="{00000000-0008-0000-1F00-00003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6" name="Button 54" hidden="1">
              <a:extLst>
                <a:ext uri="{63B3BB69-23CF-44E3-9099-C40C66FF867C}">
                  <a14:compatExt spid="_x0000_s28726"/>
                </a:ext>
                <a:ext uri="{FF2B5EF4-FFF2-40B4-BE49-F238E27FC236}">
                  <a16:creationId xmlns:a16="http://schemas.microsoft.com/office/drawing/2014/main" id="{00000000-0008-0000-1F00-00003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7" name="Button 55" hidden="1">
              <a:extLst>
                <a:ext uri="{63B3BB69-23CF-44E3-9099-C40C66FF867C}">
                  <a14:compatExt spid="_x0000_s28727"/>
                </a:ext>
                <a:ext uri="{FF2B5EF4-FFF2-40B4-BE49-F238E27FC236}">
                  <a16:creationId xmlns:a16="http://schemas.microsoft.com/office/drawing/2014/main" id="{00000000-0008-0000-1F00-00003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8" name="Button 56" hidden="1">
              <a:extLst>
                <a:ext uri="{63B3BB69-23CF-44E3-9099-C40C66FF867C}">
                  <a14:compatExt spid="_x0000_s28728"/>
                </a:ext>
                <a:ext uri="{FF2B5EF4-FFF2-40B4-BE49-F238E27FC236}">
                  <a16:creationId xmlns:a16="http://schemas.microsoft.com/office/drawing/2014/main" id="{00000000-0008-0000-1F00-00003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9" name="Button 57" hidden="1">
              <a:extLst>
                <a:ext uri="{63B3BB69-23CF-44E3-9099-C40C66FF867C}">
                  <a14:compatExt spid="_x0000_s28729"/>
                </a:ext>
                <a:ext uri="{FF2B5EF4-FFF2-40B4-BE49-F238E27FC236}">
                  <a16:creationId xmlns:a16="http://schemas.microsoft.com/office/drawing/2014/main" id="{00000000-0008-0000-1F00-00003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30" name="Button 58" hidden="1">
              <a:extLst>
                <a:ext uri="{63B3BB69-23CF-44E3-9099-C40C66FF867C}">
                  <a14:compatExt spid="_x0000_s28730"/>
                </a:ext>
                <a:ext uri="{FF2B5EF4-FFF2-40B4-BE49-F238E27FC236}">
                  <a16:creationId xmlns:a16="http://schemas.microsoft.com/office/drawing/2014/main" id="{00000000-0008-0000-1F00-00003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7889" name="Button 1" hidden="1">
              <a:extLst>
                <a:ext uri="{63B3BB69-23CF-44E3-9099-C40C66FF867C}">
                  <a14:compatExt spid="_x0000_s37889"/>
                </a:ext>
                <a:ext uri="{FF2B5EF4-FFF2-40B4-BE49-F238E27FC236}">
                  <a16:creationId xmlns:a16="http://schemas.microsoft.com/office/drawing/2014/main" id="{00000000-0008-0000-2000-00000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2000-00000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2000-00000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2" name="Button 4" hidden="1">
              <a:extLst>
                <a:ext uri="{63B3BB69-23CF-44E3-9099-C40C66FF867C}">
                  <a14:compatExt spid="_x0000_s37892"/>
                </a:ext>
                <a:ext uri="{FF2B5EF4-FFF2-40B4-BE49-F238E27FC236}">
                  <a16:creationId xmlns:a16="http://schemas.microsoft.com/office/drawing/2014/main" id="{00000000-0008-0000-2000-00000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3" name="Button 5" hidden="1">
              <a:extLst>
                <a:ext uri="{63B3BB69-23CF-44E3-9099-C40C66FF867C}">
                  <a14:compatExt spid="_x0000_s37893"/>
                </a:ext>
                <a:ext uri="{FF2B5EF4-FFF2-40B4-BE49-F238E27FC236}">
                  <a16:creationId xmlns:a16="http://schemas.microsoft.com/office/drawing/2014/main" id="{00000000-0008-0000-2000-00000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4" name="Button 6" hidden="1">
              <a:extLst>
                <a:ext uri="{63B3BB69-23CF-44E3-9099-C40C66FF867C}">
                  <a14:compatExt spid="_x0000_s37894"/>
                </a:ext>
                <a:ext uri="{FF2B5EF4-FFF2-40B4-BE49-F238E27FC236}">
                  <a16:creationId xmlns:a16="http://schemas.microsoft.com/office/drawing/2014/main" id="{00000000-0008-0000-2000-00000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5" name="Button 7" hidden="1">
              <a:extLst>
                <a:ext uri="{63B3BB69-23CF-44E3-9099-C40C66FF867C}">
                  <a14:compatExt spid="_x0000_s37895"/>
                </a:ext>
                <a:ext uri="{FF2B5EF4-FFF2-40B4-BE49-F238E27FC236}">
                  <a16:creationId xmlns:a16="http://schemas.microsoft.com/office/drawing/2014/main" id="{00000000-0008-0000-2000-00000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6" name="Button 8" hidden="1">
              <a:extLst>
                <a:ext uri="{63B3BB69-23CF-44E3-9099-C40C66FF867C}">
                  <a14:compatExt spid="_x0000_s37896"/>
                </a:ext>
                <a:ext uri="{FF2B5EF4-FFF2-40B4-BE49-F238E27FC236}">
                  <a16:creationId xmlns:a16="http://schemas.microsoft.com/office/drawing/2014/main" id="{00000000-0008-0000-2000-00000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2000-00000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8" name="Button 10" hidden="1">
              <a:extLst>
                <a:ext uri="{63B3BB69-23CF-44E3-9099-C40C66FF867C}">
                  <a14:compatExt spid="_x0000_s37898"/>
                </a:ext>
                <a:ext uri="{FF2B5EF4-FFF2-40B4-BE49-F238E27FC236}">
                  <a16:creationId xmlns:a16="http://schemas.microsoft.com/office/drawing/2014/main" id="{00000000-0008-0000-2000-00000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899" name="Button 11" hidden="1">
              <a:extLst>
                <a:ext uri="{63B3BB69-23CF-44E3-9099-C40C66FF867C}">
                  <a14:compatExt spid="_x0000_s37899"/>
                </a:ext>
                <a:ext uri="{FF2B5EF4-FFF2-40B4-BE49-F238E27FC236}">
                  <a16:creationId xmlns:a16="http://schemas.microsoft.com/office/drawing/2014/main" id="{00000000-0008-0000-2000-00000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0" name="Button 12" hidden="1">
              <a:extLst>
                <a:ext uri="{63B3BB69-23CF-44E3-9099-C40C66FF867C}">
                  <a14:compatExt spid="_x0000_s37900"/>
                </a:ext>
                <a:ext uri="{FF2B5EF4-FFF2-40B4-BE49-F238E27FC236}">
                  <a16:creationId xmlns:a16="http://schemas.microsoft.com/office/drawing/2014/main" id="{00000000-0008-0000-2000-00000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1" name="Button 13" hidden="1">
              <a:extLst>
                <a:ext uri="{63B3BB69-23CF-44E3-9099-C40C66FF867C}">
                  <a14:compatExt spid="_x0000_s37901"/>
                </a:ext>
                <a:ext uri="{FF2B5EF4-FFF2-40B4-BE49-F238E27FC236}">
                  <a16:creationId xmlns:a16="http://schemas.microsoft.com/office/drawing/2014/main" id="{00000000-0008-0000-2000-00000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2" name="Button 14" hidden="1">
              <a:extLst>
                <a:ext uri="{63B3BB69-23CF-44E3-9099-C40C66FF867C}">
                  <a14:compatExt spid="_x0000_s37902"/>
                </a:ext>
                <a:ext uri="{FF2B5EF4-FFF2-40B4-BE49-F238E27FC236}">
                  <a16:creationId xmlns:a16="http://schemas.microsoft.com/office/drawing/2014/main" id="{00000000-0008-0000-2000-00000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3" name="Button 15" hidden="1">
              <a:extLst>
                <a:ext uri="{63B3BB69-23CF-44E3-9099-C40C66FF867C}">
                  <a14:compatExt spid="_x0000_s37903"/>
                </a:ext>
                <a:ext uri="{FF2B5EF4-FFF2-40B4-BE49-F238E27FC236}">
                  <a16:creationId xmlns:a16="http://schemas.microsoft.com/office/drawing/2014/main" id="{00000000-0008-0000-2000-00000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2000-00001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5" name="Button 17" hidden="1">
              <a:extLst>
                <a:ext uri="{63B3BB69-23CF-44E3-9099-C40C66FF867C}">
                  <a14:compatExt spid="_x0000_s37905"/>
                </a:ext>
                <a:ext uri="{FF2B5EF4-FFF2-40B4-BE49-F238E27FC236}">
                  <a16:creationId xmlns:a16="http://schemas.microsoft.com/office/drawing/2014/main" id="{00000000-0008-0000-2000-00001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6" name="Button 18" hidden="1">
              <a:extLst>
                <a:ext uri="{63B3BB69-23CF-44E3-9099-C40C66FF867C}">
                  <a14:compatExt spid="_x0000_s37906"/>
                </a:ext>
                <a:ext uri="{FF2B5EF4-FFF2-40B4-BE49-F238E27FC236}">
                  <a16:creationId xmlns:a16="http://schemas.microsoft.com/office/drawing/2014/main" id="{00000000-0008-0000-2000-00001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7" name="Button 19" hidden="1">
              <a:extLst>
                <a:ext uri="{63B3BB69-23CF-44E3-9099-C40C66FF867C}">
                  <a14:compatExt spid="_x0000_s37907"/>
                </a:ext>
                <a:ext uri="{FF2B5EF4-FFF2-40B4-BE49-F238E27FC236}">
                  <a16:creationId xmlns:a16="http://schemas.microsoft.com/office/drawing/2014/main" id="{00000000-0008-0000-2000-00001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8" name="Button 20" hidden="1">
              <a:extLst>
                <a:ext uri="{63B3BB69-23CF-44E3-9099-C40C66FF867C}">
                  <a14:compatExt spid="_x0000_s37908"/>
                </a:ext>
                <a:ext uri="{FF2B5EF4-FFF2-40B4-BE49-F238E27FC236}">
                  <a16:creationId xmlns:a16="http://schemas.microsoft.com/office/drawing/2014/main" id="{00000000-0008-0000-2000-00001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9" name="Button 21" hidden="1">
              <a:extLst>
                <a:ext uri="{63B3BB69-23CF-44E3-9099-C40C66FF867C}">
                  <a14:compatExt spid="_x0000_s37909"/>
                </a:ext>
                <a:ext uri="{FF2B5EF4-FFF2-40B4-BE49-F238E27FC236}">
                  <a16:creationId xmlns:a16="http://schemas.microsoft.com/office/drawing/2014/main" id="{00000000-0008-0000-2000-00001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10" name="Button 22" hidden="1">
              <a:extLst>
                <a:ext uri="{63B3BB69-23CF-44E3-9099-C40C66FF867C}">
                  <a14:compatExt spid="_x0000_s37910"/>
                </a:ext>
                <a:ext uri="{FF2B5EF4-FFF2-40B4-BE49-F238E27FC236}">
                  <a16:creationId xmlns:a16="http://schemas.microsoft.com/office/drawing/2014/main" id="{00000000-0008-0000-2000-00001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2000-00001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2" name="Button 24" hidden="1">
              <a:extLst>
                <a:ext uri="{63B3BB69-23CF-44E3-9099-C40C66FF867C}">
                  <a14:compatExt spid="_x0000_s37912"/>
                </a:ext>
                <a:ext uri="{FF2B5EF4-FFF2-40B4-BE49-F238E27FC236}">
                  <a16:creationId xmlns:a16="http://schemas.microsoft.com/office/drawing/2014/main" id="{00000000-0008-0000-2000-00001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3" name="Button 25" hidden="1">
              <a:extLst>
                <a:ext uri="{63B3BB69-23CF-44E3-9099-C40C66FF867C}">
                  <a14:compatExt spid="_x0000_s37913"/>
                </a:ext>
                <a:ext uri="{FF2B5EF4-FFF2-40B4-BE49-F238E27FC236}">
                  <a16:creationId xmlns:a16="http://schemas.microsoft.com/office/drawing/2014/main" id="{00000000-0008-0000-2000-00001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2000-00001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2000-00001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2000-00001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2000-00001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8" name="Button 30" hidden="1">
              <a:extLst>
                <a:ext uri="{63B3BB69-23CF-44E3-9099-C40C66FF867C}">
                  <a14:compatExt spid="_x0000_s37918"/>
                </a:ext>
                <a:ext uri="{FF2B5EF4-FFF2-40B4-BE49-F238E27FC236}">
                  <a16:creationId xmlns:a16="http://schemas.microsoft.com/office/drawing/2014/main" id="{00000000-0008-0000-2000-00001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19" name="Button 31" hidden="1">
              <a:extLst>
                <a:ext uri="{63B3BB69-23CF-44E3-9099-C40C66FF867C}">
                  <a14:compatExt spid="_x0000_s37919"/>
                </a:ext>
                <a:ext uri="{FF2B5EF4-FFF2-40B4-BE49-F238E27FC236}">
                  <a16:creationId xmlns:a16="http://schemas.microsoft.com/office/drawing/2014/main" id="{00000000-0008-0000-2000-00001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0" name="Button 32" hidden="1">
              <a:extLst>
                <a:ext uri="{63B3BB69-23CF-44E3-9099-C40C66FF867C}">
                  <a14:compatExt spid="_x0000_s37920"/>
                </a:ext>
                <a:ext uri="{FF2B5EF4-FFF2-40B4-BE49-F238E27FC236}">
                  <a16:creationId xmlns:a16="http://schemas.microsoft.com/office/drawing/2014/main" id="{00000000-0008-0000-2000-00002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1" name="Button 33" hidden="1">
              <a:extLst>
                <a:ext uri="{63B3BB69-23CF-44E3-9099-C40C66FF867C}">
                  <a14:compatExt spid="_x0000_s37921"/>
                </a:ext>
                <a:ext uri="{FF2B5EF4-FFF2-40B4-BE49-F238E27FC236}">
                  <a16:creationId xmlns:a16="http://schemas.microsoft.com/office/drawing/2014/main" id="{00000000-0008-0000-2000-00002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2" name="Button 34" hidden="1">
              <a:extLst>
                <a:ext uri="{63B3BB69-23CF-44E3-9099-C40C66FF867C}">
                  <a14:compatExt spid="_x0000_s37922"/>
                </a:ext>
                <a:ext uri="{FF2B5EF4-FFF2-40B4-BE49-F238E27FC236}">
                  <a16:creationId xmlns:a16="http://schemas.microsoft.com/office/drawing/2014/main" id="{00000000-0008-0000-2000-00002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3" name="Button 35" hidden="1">
              <a:extLst>
                <a:ext uri="{63B3BB69-23CF-44E3-9099-C40C66FF867C}">
                  <a14:compatExt spid="_x0000_s37923"/>
                </a:ext>
                <a:ext uri="{FF2B5EF4-FFF2-40B4-BE49-F238E27FC236}">
                  <a16:creationId xmlns:a16="http://schemas.microsoft.com/office/drawing/2014/main" id="{00000000-0008-0000-2000-00002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4" name="Button 36" hidden="1">
              <a:extLst>
                <a:ext uri="{63B3BB69-23CF-44E3-9099-C40C66FF867C}">
                  <a14:compatExt spid="_x0000_s37924"/>
                </a:ext>
                <a:ext uri="{FF2B5EF4-FFF2-40B4-BE49-F238E27FC236}">
                  <a16:creationId xmlns:a16="http://schemas.microsoft.com/office/drawing/2014/main" id="{00000000-0008-0000-2000-00002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5" name="Button 37" hidden="1">
              <a:extLst>
                <a:ext uri="{63B3BB69-23CF-44E3-9099-C40C66FF867C}">
                  <a14:compatExt spid="_x0000_s37925"/>
                </a:ext>
                <a:ext uri="{FF2B5EF4-FFF2-40B4-BE49-F238E27FC236}">
                  <a16:creationId xmlns:a16="http://schemas.microsoft.com/office/drawing/2014/main" id="{00000000-0008-0000-2000-00002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6" name="Button 38" hidden="1">
              <a:extLst>
                <a:ext uri="{63B3BB69-23CF-44E3-9099-C40C66FF867C}">
                  <a14:compatExt spid="_x0000_s37926"/>
                </a:ext>
                <a:ext uri="{FF2B5EF4-FFF2-40B4-BE49-F238E27FC236}">
                  <a16:creationId xmlns:a16="http://schemas.microsoft.com/office/drawing/2014/main" id="{00000000-0008-0000-2000-00002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7" name="Button 39" hidden="1">
              <a:extLst>
                <a:ext uri="{63B3BB69-23CF-44E3-9099-C40C66FF867C}">
                  <a14:compatExt spid="_x0000_s37927"/>
                </a:ext>
                <a:ext uri="{FF2B5EF4-FFF2-40B4-BE49-F238E27FC236}">
                  <a16:creationId xmlns:a16="http://schemas.microsoft.com/office/drawing/2014/main" id="{00000000-0008-0000-2000-00002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8" name="Button 40" hidden="1">
              <a:extLst>
                <a:ext uri="{63B3BB69-23CF-44E3-9099-C40C66FF867C}">
                  <a14:compatExt spid="_x0000_s37928"/>
                </a:ext>
                <a:ext uri="{FF2B5EF4-FFF2-40B4-BE49-F238E27FC236}">
                  <a16:creationId xmlns:a16="http://schemas.microsoft.com/office/drawing/2014/main" id="{00000000-0008-0000-2000-00002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9" name="Button 41" hidden="1">
              <a:extLst>
                <a:ext uri="{63B3BB69-23CF-44E3-9099-C40C66FF867C}">
                  <a14:compatExt spid="_x0000_s37929"/>
                </a:ext>
                <a:ext uri="{FF2B5EF4-FFF2-40B4-BE49-F238E27FC236}">
                  <a16:creationId xmlns:a16="http://schemas.microsoft.com/office/drawing/2014/main" id="{00000000-0008-0000-2000-00002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30" name="Button 42" hidden="1">
              <a:extLst>
                <a:ext uri="{63B3BB69-23CF-44E3-9099-C40C66FF867C}">
                  <a14:compatExt spid="_x0000_s37930"/>
                </a:ext>
                <a:ext uri="{FF2B5EF4-FFF2-40B4-BE49-F238E27FC236}">
                  <a16:creationId xmlns:a16="http://schemas.microsoft.com/office/drawing/2014/main" id="{00000000-0008-0000-2000-00002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1" name="Button 43" hidden="1">
              <a:extLst>
                <a:ext uri="{63B3BB69-23CF-44E3-9099-C40C66FF867C}">
                  <a14:compatExt spid="_x0000_s37931"/>
                </a:ext>
                <a:ext uri="{FF2B5EF4-FFF2-40B4-BE49-F238E27FC236}">
                  <a16:creationId xmlns:a16="http://schemas.microsoft.com/office/drawing/2014/main" id="{00000000-0008-0000-2000-00002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2" name="Button 44" hidden="1">
              <a:extLst>
                <a:ext uri="{63B3BB69-23CF-44E3-9099-C40C66FF867C}">
                  <a14:compatExt spid="_x0000_s37932"/>
                </a:ext>
                <a:ext uri="{FF2B5EF4-FFF2-40B4-BE49-F238E27FC236}">
                  <a16:creationId xmlns:a16="http://schemas.microsoft.com/office/drawing/2014/main" id="{00000000-0008-0000-2000-00002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3" name="Button 45" hidden="1">
              <a:extLst>
                <a:ext uri="{63B3BB69-23CF-44E3-9099-C40C66FF867C}">
                  <a14:compatExt spid="_x0000_s37933"/>
                </a:ext>
                <a:ext uri="{FF2B5EF4-FFF2-40B4-BE49-F238E27FC236}">
                  <a16:creationId xmlns:a16="http://schemas.microsoft.com/office/drawing/2014/main" id="{00000000-0008-0000-2000-00002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4" name="Button 46" hidden="1">
              <a:extLst>
                <a:ext uri="{63B3BB69-23CF-44E3-9099-C40C66FF867C}">
                  <a14:compatExt spid="_x0000_s37934"/>
                </a:ext>
                <a:ext uri="{FF2B5EF4-FFF2-40B4-BE49-F238E27FC236}">
                  <a16:creationId xmlns:a16="http://schemas.microsoft.com/office/drawing/2014/main" id="{00000000-0008-0000-2000-00002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5" name="Button 47" hidden="1">
              <a:extLst>
                <a:ext uri="{63B3BB69-23CF-44E3-9099-C40C66FF867C}">
                  <a14:compatExt spid="_x0000_s37935"/>
                </a:ext>
                <a:ext uri="{FF2B5EF4-FFF2-40B4-BE49-F238E27FC236}">
                  <a16:creationId xmlns:a16="http://schemas.microsoft.com/office/drawing/2014/main" id="{00000000-0008-0000-2000-00002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6" name="Button 48" hidden="1">
              <a:extLst>
                <a:ext uri="{63B3BB69-23CF-44E3-9099-C40C66FF867C}">
                  <a14:compatExt spid="_x0000_s37936"/>
                </a:ext>
                <a:ext uri="{FF2B5EF4-FFF2-40B4-BE49-F238E27FC236}">
                  <a16:creationId xmlns:a16="http://schemas.microsoft.com/office/drawing/2014/main" id="{00000000-0008-0000-2000-00003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7" name="Button 49" hidden="1">
              <a:extLst>
                <a:ext uri="{63B3BB69-23CF-44E3-9099-C40C66FF867C}">
                  <a14:compatExt spid="_x0000_s37937"/>
                </a:ext>
                <a:ext uri="{FF2B5EF4-FFF2-40B4-BE49-F238E27FC236}">
                  <a16:creationId xmlns:a16="http://schemas.microsoft.com/office/drawing/2014/main" id="{00000000-0008-0000-2000-00003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8" name="Button 50" hidden="1">
              <a:extLst>
                <a:ext uri="{63B3BB69-23CF-44E3-9099-C40C66FF867C}">
                  <a14:compatExt spid="_x0000_s37938"/>
                </a:ext>
                <a:ext uri="{FF2B5EF4-FFF2-40B4-BE49-F238E27FC236}">
                  <a16:creationId xmlns:a16="http://schemas.microsoft.com/office/drawing/2014/main" id="{00000000-0008-0000-2000-00003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39" name="Button 51" hidden="1">
              <a:extLst>
                <a:ext uri="{63B3BB69-23CF-44E3-9099-C40C66FF867C}">
                  <a14:compatExt spid="_x0000_s37939"/>
                </a:ext>
                <a:ext uri="{FF2B5EF4-FFF2-40B4-BE49-F238E27FC236}">
                  <a16:creationId xmlns:a16="http://schemas.microsoft.com/office/drawing/2014/main" id="{00000000-0008-0000-2000-00003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0" name="Button 52" hidden="1">
              <a:extLst>
                <a:ext uri="{63B3BB69-23CF-44E3-9099-C40C66FF867C}">
                  <a14:compatExt spid="_x0000_s37940"/>
                </a:ext>
                <a:ext uri="{FF2B5EF4-FFF2-40B4-BE49-F238E27FC236}">
                  <a16:creationId xmlns:a16="http://schemas.microsoft.com/office/drawing/2014/main" id="{00000000-0008-0000-2000-00003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1" name="Button 53" hidden="1">
              <a:extLst>
                <a:ext uri="{63B3BB69-23CF-44E3-9099-C40C66FF867C}">
                  <a14:compatExt spid="_x0000_s37941"/>
                </a:ext>
                <a:ext uri="{FF2B5EF4-FFF2-40B4-BE49-F238E27FC236}">
                  <a16:creationId xmlns:a16="http://schemas.microsoft.com/office/drawing/2014/main" id="{00000000-0008-0000-2000-00003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2" name="Button 54" hidden="1">
              <a:extLst>
                <a:ext uri="{63B3BB69-23CF-44E3-9099-C40C66FF867C}">
                  <a14:compatExt spid="_x0000_s37942"/>
                </a:ext>
                <a:ext uri="{FF2B5EF4-FFF2-40B4-BE49-F238E27FC236}">
                  <a16:creationId xmlns:a16="http://schemas.microsoft.com/office/drawing/2014/main" id="{00000000-0008-0000-2000-00003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3" name="Button 55" hidden="1">
              <a:extLst>
                <a:ext uri="{63B3BB69-23CF-44E3-9099-C40C66FF867C}">
                  <a14:compatExt spid="_x0000_s37943"/>
                </a:ext>
                <a:ext uri="{FF2B5EF4-FFF2-40B4-BE49-F238E27FC236}">
                  <a16:creationId xmlns:a16="http://schemas.microsoft.com/office/drawing/2014/main" id="{00000000-0008-0000-2000-00003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4" name="Button 56" hidden="1">
              <a:extLst>
                <a:ext uri="{63B3BB69-23CF-44E3-9099-C40C66FF867C}">
                  <a14:compatExt spid="_x0000_s37944"/>
                </a:ext>
                <a:ext uri="{FF2B5EF4-FFF2-40B4-BE49-F238E27FC236}">
                  <a16:creationId xmlns:a16="http://schemas.microsoft.com/office/drawing/2014/main" id="{00000000-0008-0000-2000-00003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5" name="Button 57" hidden="1">
              <a:extLst>
                <a:ext uri="{63B3BB69-23CF-44E3-9099-C40C66FF867C}">
                  <a14:compatExt spid="_x0000_s37945"/>
                </a:ext>
                <a:ext uri="{FF2B5EF4-FFF2-40B4-BE49-F238E27FC236}">
                  <a16:creationId xmlns:a16="http://schemas.microsoft.com/office/drawing/2014/main" id="{00000000-0008-0000-2000-00003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6" name="Button 58" hidden="1">
              <a:extLst>
                <a:ext uri="{63B3BB69-23CF-44E3-9099-C40C66FF867C}">
                  <a14:compatExt spid="_x0000_s37946"/>
                </a:ext>
                <a:ext uri="{FF2B5EF4-FFF2-40B4-BE49-F238E27FC236}">
                  <a16:creationId xmlns:a16="http://schemas.microsoft.com/office/drawing/2014/main" id="{00000000-0008-0000-2000-00003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2100-00000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2100-00000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5" name="Button 3" hidden="1">
              <a:extLst>
                <a:ext uri="{63B3BB69-23CF-44E3-9099-C40C66FF867C}">
                  <a14:compatExt spid="_x0000_s38915"/>
                </a:ext>
                <a:ext uri="{FF2B5EF4-FFF2-40B4-BE49-F238E27FC236}">
                  <a16:creationId xmlns:a16="http://schemas.microsoft.com/office/drawing/2014/main" id="{00000000-0008-0000-2100-00000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6" name="Button 4" hidden="1">
              <a:extLst>
                <a:ext uri="{63B3BB69-23CF-44E3-9099-C40C66FF867C}">
                  <a14:compatExt spid="_x0000_s38916"/>
                </a:ext>
                <a:ext uri="{FF2B5EF4-FFF2-40B4-BE49-F238E27FC236}">
                  <a16:creationId xmlns:a16="http://schemas.microsoft.com/office/drawing/2014/main" id="{00000000-0008-0000-2100-00000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7" name="Button 5" hidden="1">
              <a:extLst>
                <a:ext uri="{63B3BB69-23CF-44E3-9099-C40C66FF867C}">
                  <a14:compatExt spid="_x0000_s38917"/>
                </a:ext>
                <a:ext uri="{FF2B5EF4-FFF2-40B4-BE49-F238E27FC236}">
                  <a16:creationId xmlns:a16="http://schemas.microsoft.com/office/drawing/2014/main" id="{00000000-0008-0000-2100-00000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8" name="Button 6" hidden="1">
              <a:extLst>
                <a:ext uri="{63B3BB69-23CF-44E3-9099-C40C66FF867C}">
                  <a14:compatExt spid="_x0000_s38918"/>
                </a:ext>
                <a:ext uri="{FF2B5EF4-FFF2-40B4-BE49-F238E27FC236}">
                  <a16:creationId xmlns:a16="http://schemas.microsoft.com/office/drawing/2014/main" id="{00000000-0008-0000-2100-00000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19" name="Button 7" hidden="1">
              <a:extLst>
                <a:ext uri="{63B3BB69-23CF-44E3-9099-C40C66FF867C}">
                  <a14:compatExt spid="_x0000_s38919"/>
                </a:ext>
                <a:ext uri="{FF2B5EF4-FFF2-40B4-BE49-F238E27FC236}">
                  <a16:creationId xmlns:a16="http://schemas.microsoft.com/office/drawing/2014/main" id="{00000000-0008-0000-2100-00000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2100-00000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2100-00000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2" name="Button 10" hidden="1">
              <a:extLst>
                <a:ext uri="{63B3BB69-23CF-44E3-9099-C40C66FF867C}">
                  <a14:compatExt spid="_x0000_s38922"/>
                </a:ext>
                <a:ext uri="{FF2B5EF4-FFF2-40B4-BE49-F238E27FC236}">
                  <a16:creationId xmlns:a16="http://schemas.microsoft.com/office/drawing/2014/main" id="{00000000-0008-0000-2100-00000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3" name="Button 11" hidden="1">
              <a:extLst>
                <a:ext uri="{63B3BB69-23CF-44E3-9099-C40C66FF867C}">
                  <a14:compatExt spid="_x0000_s38923"/>
                </a:ext>
                <a:ext uri="{FF2B5EF4-FFF2-40B4-BE49-F238E27FC236}">
                  <a16:creationId xmlns:a16="http://schemas.microsoft.com/office/drawing/2014/main" id="{00000000-0008-0000-2100-00000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4" name="Button 12" hidden="1">
              <a:extLst>
                <a:ext uri="{63B3BB69-23CF-44E3-9099-C40C66FF867C}">
                  <a14:compatExt spid="_x0000_s38924"/>
                </a:ext>
                <a:ext uri="{FF2B5EF4-FFF2-40B4-BE49-F238E27FC236}">
                  <a16:creationId xmlns:a16="http://schemas.microsoft.com/office/drawing/2014/main" id="{00000000-0008-0000-2100-00000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5" name="Button 13" hidden="1">
              <a:extLst>
                <a:ext uri="{63B3BB69-23CF-44E3-9099-C40C66FF867C}">
                  <a14:compatExt spid="_x0000_s38925"/>
                </a:ext>
                <a:ext uri="{FF2B5EF4-FFF2-40B4-BE49-F238E27FC236}">
                  <a16:creationId xmlns:a16="http://schemas.microsoft.com/office/drawing/2014/main" id="{00000000-0008-0000-2100-00000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6" name="Button 14" hidden="1">
              <a:extLst>
                <a:ext uri="{63B3BB69-23CF-44E3-9099-C40C66FF867C}">
                  <a14:compatExt spid="_x0000_s38926"/>
                </a:ext>
                <a:ext uri="{FF2B5EF4-FFF2-40B4-BE49-F238E27FC236}">
                  <a16:creationId xmlns:a16="http://schemas.microsoft.com/office/drawing/2014/main" id="{00000000-0008-0000-2100-00000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7" name="Button 15" hidden="1">
              <a:extLst>
                <a:ext uri="{63B3BB69-23CF-44E3-9099-C40C66FF867C}">
                  <a14:compatExt spid="_x0000_s38927"/>
                </a:ext>
                <a:ext uri="{FF2B5EF4-FFF2-40B4-BE49-F238E27FC236}">
                  <a16:creationId xmlns:a16="http://schemas.microsoft.com/office/drawing/2014/main" id="{00000000-0008-0000-2100-00000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8" name="Button 16" hidden="1">
              <a:extLst>
                <a:ext uri="{63B3BB69-23CF-44E3-9099-C40C66FF867C}">
                  <a14:compatExt spid="_x0000_s38928"/>
                </a:ext>
                <a:ext uri="{FF2B5EF4-FFF2-40B4-BE49-F238E27FC236}">
                  <a16:creationId xmlns:a16="http://schemas.microsoft.com/office/drawing/2014/main" id="{00000000-0008-0000-2100-00001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9" name="Button 17" hidden="1">
              <a:extLst>
                <a:ext uri="{63B3BB69-23CF-44E3-9099-C40C66FF867C}">
                  <a14:compatExt spid="_x0000_s38929"/>
                </a:ext>
                <a:ext uri="{FF2B5EF4-FFF2-40B4-BE49-F238E27FC236}">
                  <a16:creationId xmlns:a16="http://schemas.microsoft.com/office/drawing/2014/main" id="{00000000-0008-0000-2100-00001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30" name="Button 18" hidden="1">
              <a:extLst>
                <a:ext uri="{63B3BB69-23CF-44E3-9099-C40C66FF867C}">
                  <a14:compatExt spid="_x0000_s38930"/>
                </a:ext>
                <a:ext uri="{FF2B5EF4-FFF2-40B4-BE49-F238E27FC236}">
                  <a16:creationId xmlns:a16="http://schemas.microsoft.com/office/drawing/2014/main" id="{00000000-0008-0000-2100-00001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1" name="Button 19" hidden="1">
              <a:extLst>
                <a:ext uri="{63B3BB69-23CF-44E3-9099-C40C66FF867C}">
                  <a14:compatExt spid="_x0000_s38931"/>
                </a:ext>
                <a:ext uri="{FF2B5EF4-FFF2-40B4-BE49-F238E27FC236}">
                  <a16:creationId xmlns:a16="http://schemas.microsoft.com/office/drawing/2014/main" id="{00000000-0008-0000-2100-00001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2" name="Button 20" hidden="1">
              <a:extLst>
                <a:ext uri="{63B3BB69-23CF-44E3-9099-C40C66FF867C}">
                  <a14:compatExt spid="_x0000_s38932"/>
                </a:ext>
                <a:ext uri="{FF2B5EF4-FFF2-40B4-BE49-F238E27FC236}">
                  <a16:creationId xmlns:a16="http://schemas.microsoft.com/office/drawing/2014/main" id="{00000000-0008-0000-2100-00001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2100-00001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2100-00001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2100-00001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2100-00001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2100-00001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8" name="Button 26" hidden="1">
              <a:extLst>
                <a:ext uri="{63B3BB69-23CF-44E3-9099-C40C66FF867C}">
                  <a14:compatExt spid="_x0000_s38938"/>
                </a:ext>
                <a:ext uri="{FF2B5EF4-FFF2-40B4-BE49-F238E27FC236}">
                  <a16:creationId xmlns:a16="http://schemas.microsoft.com/office/drawing/2014/main" id="{00000000-0008-0000-2100-00001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39" name="Button 27" hidden="1">
              <a:extLst>
                <a:ext uri="{63B3BB69-23CF-44E3-9099-C40C66FF867C}">
                  <a14:compatExt spid="_x0000_s38939"/>
                </a:ext>
                <a:ext uri="{FF2B5EF4-FFF2-40B4-BE49-F238E27FC236}">
                  <a16:creationId xmlns:a16="http://schemas.microsoft.com/office/drawing/2014/main" id="{00000000-0008-0000-2100-00001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0" name="Button 28" hidden="1">
              <a:extLst>
                <a:ext uri="{63B3BB69-23CF-44E3-9099-C40C66FF867C}">
                  <a14:compatExt spid="_x0000_s38940"/>
                </a:ext>
                <a:ext uri="{FF2B5EF4-FFF2-40B4-BE49-F238E27FC236}">
                  <a16:creationId xmlns:a16="http://schemas.microsoft.com/office/drawing/2014/main" id="{00000000-0008-0000-2100-00001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1" name="Button 29" hidden="1">
              <a:extLst>
                <a:ext uri="{63B3BB69-23CF-44E3-9099-C40C66FF867C}">
                  <a14:compatExt spid="_x0000_s38941"/>
                </a:ext>
                <a:ext uri="{FF2B5EF4-FFF2-40B4-BE49-F238E27FC236}">
                  <a16:creationId xmlns:a16="http://schemas.microsoft.com/office/drawing/2014/main" id="{00000000-0008-0000-2100-00001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2" name="Button 30" hidden="1">
              <a:extLst>
                <a:ext uri="{63B3BB69-23CF-44E3-9099-C40C66FF867C}">
                  <a14:compatExt spid="_x0000_s38942"/>
                </a:ext>
                <a:ext uri="{FF2B5EF4-FFF2-40B4-BE49-F238E27FC236}">
                  <a16:creationId xmlns:a16="http://schemas.microsoft.com/office/drawing/2014/main" id="{00000000-0008-0000-2100-00001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3" name="Button 31" hidden="1">
              <a:extLst>
                <a:ext uri="{63B3BB69-23CF-44E3-9099-C40C66FF867C}">
                  <a14:compatExt spid="_x0000_s38943"/>
                </a:ext>
                <a:ext uri="{FF2B5EF4-FFF2-40B4-BE49-F238E27FC236}">
                  <a16:creationId xmlns:a16="http://schemas.microsoft.com/office/drawing/2014/main" id="{00000000-0008-0000-2100-00001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4" name="Button 32" hidden="1">
              <a:extLst>
                <a:ext uri="{63B3BB69-23CF-44E3-9099-C40C66FF867C}">
                  <a14:compatExt spid="_x0000_s38944"/>
                </a:ext>
                <a:ext uri="{FF2B5EF4-FFF2-40B4-BE49-F238E27FC236}">
                  <a16:creationId xmlns:a16="http://schemas.microsoft.com/office/drawing/2014/main" id="{00000000-0008-0000-2100-00002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5" name="Button 33" hidden="1">
              <a:extLst>
                <a:ext uri="{63B3BB69-23CF-44E3-9099-C40C66FF867C}">
                  <a14:compatExt spid="_x0000_s38945"/>
                </a:ext>
                <a:ext uri="{FF2B5EF4-FFF2-40B4-BE49-F238E27FC236}">
                  <a16:creationId xmlns:a16="http://schemas.microsoft.com/office/drawing/2014/main" id="{00000000-0008-0000-2100-00002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6" name="Button 34" hidden="1">
              <a:extLst>
                <a:ext uri="{63B3BB69-23CF-44E3-9099-C40C66FF867C}">
                  <a14:compatExt spid="_x0000_s38946"/>
                </a:ext>
                <a:ext uri="{FF2B5EF4-FFF2-40B4-BE49-F238E27FC236}">
                  <a16:creationId xmlns:a16="http://schemas.microsoft.com/office/drawing/2014/main" id="{00000000-0008-0000-2100-00002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7" name="Button 35" hidden="1">
              <a:extLst>
                <a:ext uri="{63B3BB69-23CF-44E3-9099-C40C66FF867C}">
                  <a14:compatExt spid="_x0000_s38947"/>
                </a:ext>
                <a:ext uri="{FF2B5EF4-FFF2-40B4-BE49-F238E27FC236}">
                  <a16:creationId xmlns:a16="http://schemas.microsoft.com/office/drawing/2014/main" id="{00000000-0008-0000-2100-00002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8" name="Button 36" hidden="1">
              <a:extLst>
                <a:ext uri="{63B3BB69-23CF-44E3-9099-C40C66FF867C}">
                  <a14:compatExt spid="_x0000_s38948"/>
                </a:ext>
                <a:ext uri="{FF2B5EF4-FFF2-40B4-BE49-F238E27FC236}">
                  <a16:creationId xmlns:a16="http://schemas.microsoft.com/office/drawing/2014/main" id="{00000000-0008-0000-2100-00002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9" name="Button 37" hidden="1">
              <a:extLst>
                <a:ext uri="{63B3BB69-23CF-44E3-9099-C40C66FF867C}">
                  <a14:compatExt spid="_x0000_s38949"/>
                </a:ext>
                <a:ext uri="{FF2B5EF4-FFF2-40B4-BE49-F238E27FC236}">
                  <a16:creationId xmlns:a16="http://schemas.microsoft.com/office/drawing/2014/main" id="{00000000-0008-0000-2100-00002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50" name="Button 38" hidden="1">
              <a:extLst>
                <a:ext uri="{63B3BB69-23CF-44E3-9099-C40C66FF867C}">
                  <a14:compatExt spid="_x0000_s38950"/>
                </a:ext>
                <a:ext uri="{FF2B5EF4-FFF2-40B4-BE49-F238E27FC236}">
                  <a16:creationId xmlns:a16="http://schemas.microsoft.com/office/drawing/2014/main" id="{00000000-0008-0000-2100-00002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1" name="Button 39" hidden="1">
              <a:extLst>
                <a:ext uri="{63B3BB69-23CF-44E3-9099-C40C66FF867C}">
                  <a14:compatExt spid="_x0000_s38951"/>
                </a:ext>
                <a:ext uri="{FF2B5EF4-FFF2-40B4-BE49-F238E27FC236}">
                  <a16:creationId xmlns:a16="http://schemas.microsoft.com/office/drawing/2014/main" id="{00000000-0008-0000-2100-00002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2" name="Button 40" hidden="1">
              <a:extLst>
                <a:ext uri="{63B3BB69-23CF-44E3-9099-C40C66FF867C}">
                  <a14:compatExt spid="_x0000_s38952"/>
                </a:ext>
                <a:ext uri="{FF2B5EF4-FFF2-40B4-BE49-F238E27FC236}">
                  <a16:creationId xmlns:a16="http://schemas.microsoft.com/office/drawing/2014/main" id="{00000000-0008-0000-2100-00002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3" name="Button 41" hidden="1">
              <a:extLst>
                <a:ext uri="{63B3BB69-23CF-44E3-9099-C40C66FF867C}">
                  <a14:compatExt spid="_x0000_s38953"/>
                </a:ext>
                <a:ext uri="{FF2B5EF4-FFF2-40B4-BE49-F238E27FC236}">
                  <a16:creationId xmlns:a16="http://schemas.microsoft.com/office/drawing/2014/main" id="{00000000-0008-0000-2100-00002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4" name="Button 42" hidden="1">
              <a:extLst>
                <a:ext uri="{63B3BB69-23CF-44E3-9099-C40C66FF867C}">
                  <a14:compatExt spid="_x0000_s38954"/>
                </a:ext>
                <a:ext uri="{FF2B5EF4-FFF2-40B4-BE49-F238E27FC236}">
                  <a16:creationId xmlns:a16="http://schemas.microsoft.com/office/drawing/2014/main" id="{00000000-0008-0000-2100-00002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5" name="Button 43" hidden="1">
              <a:extLst>
                <a:ext uri="{63B3BB69-23CF-44E3-9099-C40C66FF867C}">
                  <a14:compatExt spid="_x0000_s38955"/>
                </a:ext>
                <a:ext uri="{FF2B5EF4-FFF2-40B4-BE49-F238E27FC236}">
                  <a16:creationId xmlns:a16="http://schemas.microsoft.com/office/drawing/2014/main" id="{00000000-0008-0000-2100-00002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6" name="Button 44" hidden="1">
              <a:extLst>
                <a:ext uri="{63B3BB69-23CF-44E3-9099-C40C66FF867C}">
                  <a14:compatExt spid="_x0000_s38956"/>
                </a:ext>
                <a:ext uri="{FF2B5EF4-FFF2-40B4-BE49-F238E27FC236}">
                  <a16:creationId xmlns:a16="http://schemas.microsoft.com/office/drawing/2014/main" id="{00000000-0008-0000-2100-00002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7" name="Button 45" hidden="1">
              <a:extLst>
                <a:ext uri="{63B3BB69-23CF-44E3-9099-C40C66FF867C}">
                  <a14:compatExt spid="_x0000_s38957"/>
                </a:ext>
                <a:ext uri="{FF2B5EF4-FFF2-40B4-BE49-F238E27FC236}">
                  <a16:creationId xmlns:a16="http://schemas.microsoft.com/office/drawing/2014/main" id="{00000000-0008-0000-2100-00002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8" name="Button 46" hidden="1">
              <a:extLst>
                <a:ext uri="{63B3BB69-23CF-44E3-9099-C40C66FF867C}">
                  <a14:compatExt spid="_x0000_s38958"/>
                </a:ext>
                <a:ext uri="{FF2B5EF4-FFF2-40B4-BE49-F238E27FC236}">
                  <a16:creationId xmlns:a16="http://schemas.microsoft.com/office/drawing/2014/main" id="{00000000-0008-0000-2100-00002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59" name="Button 47" hidden="1">
              <a:extLst>
                <a:ext uri="{63B3BB69-23CF-44E3-9099-C40C66FF867C}">
                  <a14:compatExt spid="_x0000_s38959"/>
                </a:ext>
                <a:ext uri="{FF2B5EF4-FFF2-40B4-BE49-F238E27FC236}">
                  <a16:creationId xmlns:a16="http://schemas.microsoft.com/office/drawing/2014/main" id="{00000000-0008-0000-2100-00002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0" name="Button 48" hidden="1">
              <a:extLst>
                <a:ext uri="{63B3BB69-23CF-44E3-9099-C40C66FF867C}">
                  <a14:compatExt spid="_x0000_s38960"/>
                </a:ext>
                <a:ext uri="{FF2B5EF4-FFF2-40B4-BE49-F238E27FC236}">
                  <a16:creationId xmlns:a16="http://schemas.microsoft.com/office/drawing/2014/main" id="{00000000-0008-0000-2100-00003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1" name="Button 49" hidden="1">
              <a:extLst>
                <a:ext uri="{63B3BB69-23CF-44E3-9099-C40C66FF867C}">
                  <a14:compatExt spid="_x0000_s38961"/>
                </a:ext>
                <a:ext uri="{FF2B5EF4-FFF2-40B4-BE49-F238E27FC236}">
                  <a16:creationId xmlns:a16="http://schemas.microsoft.com/office/drawing/2014/main" id="{00000000-0008-0000-2100-00003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2" name="Button 50" hidden="1">
              <a:extLst>
                <a:ext uri="{63B3BB69-23CF-44E3-9099-C40C66FF867C}">
                  <a14:compatExt spid="_x0000_s38962"/>
                </a:ext>
                <a:ext uri="{FF2B5EF4-FFF2-40B4-BE49-F238E27FC236}">
                  <a16:creationId xmlns:a16="http://schemas.microsoft.com/office/drawing/2014/main" id="{00000000-0008-0000-2100-00003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3" name="Button 51" hidden="1">
              <a:extLst>
                <a:ext uri="{63B3BB69-23CF-44E3-9099-C40C66FF867C}">
                  <a14:compatExt spid="_x0000_s38963"/>
                </a:ext>
                <a:ext uri="{FF2B5EF4-FFF2-40B4-BE49-F238E27FC236}">
                  <a16:creationId xmlns:a16="http://schemas.microsoft.com/office/drawing/2014/main" id="{00000000-0008-0000-2100-00003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4" name="Button 52" hidden="1">
              <a:extLst>
                <a:ext uri="{63B3BB69-23CF-44E3-9099-C40C66FF867C}">
                  <a14:compatExt spid="_x0000_s38964"/>
                </a:ext>
                <a:ext uri="{FF2B5EF4-FFF2-40B4-BE49-F238E27FC236}">
                  <a16:creationId xmlns:a16="http://schemas.microsoft.com/office/drawing/2014/main" id="{00000000-0008-0000-2100-00003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5" name="Button 53" hidden="1">
              <a:extLst>
                <a:ext uri="{63B3BB69-23CF-44E3-9099-C40C66FF867C}">
                  <a14:compatExt spid="_x0000_s38965"/>
                </a:ext>
                <a:ext uri="{FF2B5EF4-FFF2-40B4-BE49-F238E27FC236}">
                  <a16:creationId xmlns:a16="http://schemas.microsoft.com/office/drawing/2014/main" id="{00000000-0008-0000-2100-00003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6" name="Button 54" hidden="1">
              <a:extLst>
                <a:ext uri="{63B3BB69-23CF-44E3-9099-C40C66FF867C}">
                  <a14:compatExt spid="_x0000_s38966"/>
                </a:ext>
                <a:ext uri="{FF2B5EF4-FFF2-40B4-BE49-F238E27FC236}">
                  <a16:creationId xmlns:a16="http://schemas.microsoft.com/office/drawing/2014/main" id="{00000000-0008-0000-2100-00003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7" name="Button 55" hidden="1">
              <a:extLst>
                <a:ext uri="{63B3BB69-23CF-44E3-9099-C40C66FF867C}">
                  <a14:compatExt spid="_x0000_s38967"/>
                </a:ext>
                <a:ext uri="{FF2B5EF4-FFF2-40B4-BE49-F238E27FC236}">
                  <a16:creationId xmlns:a16="http://schemas.microsoft.com/office/drawing/2014/main" id="{00000000-0008-0000-2100-00003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8" name="Button 56" hidden="1">
              <a:extLst>
                <a:ext uri="{63B3BB69-23CF-44E3-9099-C40C66FF867C}">
                  <a14:compatExt spid="_x0000_s38968"/>
                </a:ext>
                <a:ext uri="{FF2B5EF4-FFF2-40B4-BE49-F238E27FC236}">
                  <a16:creationId xmlns:a16="http://schemas.microsoft.com/office/drawing/2014/main" id="{00000000-0008-0000-2100-00003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9" name="Button 57" hidden="1">
              <a:extLst>
                <a:ext uri="{63B3BB69-23CF-44E3-9099-C40C66FF867C}">
                  <a14:compatExt spid="_x0000_s38969"/>
                </a:ext>
                <a:ext uri="{FF2B5EF4-FFF2-40B4-BE49-F238E27FC236}">
                  <a16:creationId xmlns:a16="http://schemas.microsoft.com/office/drawing/2014/main" id="{00000000-0008-0000-2100-00003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70" name="Button 58" hidden="1">
              <a:extLst>
                <a:ext uri="{63B3BB69-23CF-44E3-9099-C40C66FF867C}">
                  <a14:compatExt spid="_x0000_s38970"/>
                </a:ext>
                <a:ext uri="{FF2B5EF4-FFF2-40B4-BE49-F238E27FC236}">
                  <a16:creationId xmlns:a16="http://schemas.microsoft.com/office/drawing/2014/main" id="{00000000-0008-0000-2100-00003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2200-00000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2200-00000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39" name="Button 3" hidden="1">
              <a:extLst>
                <a:ext uri="{63B3BB69-23CF-44E3-9099-C40C66FF867C}">
                  <a14:compatExt spid="_x0000_s39939"/>
                </a:ext>
                <a:ext uri="{FF2B5EF4-FFF2-40B4-BE49-F238E27FC236}">
                  <a16:creationId xmlns:a16="http://schemas.microsoft.com/office/drawing/2014/main" id="{00000000-0008-0000-2200-00000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0" name="Button 4" hidden="1">
              <a:extLst>
                <a:ext uri="{63B3BB69-23CF-44E3-9099-C40C66FF867C}">
                  <a14:compatExt spid="_x0000_s39940"/>
                </a:ext>
                <a:ext uri="{FF2B5EF4-FFF2-40B4-BE49-F238E27FC236}">
                  <a16:creationId xmlns:a16="http://schemas.microsoft.com/office/drawing/2014/main" id="{00000000-0008-0000-2200-00000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1" name="Button 5" hidden="1">
              <a:extLst>
                <a:ext uri="{63B3BB69-23CF-44E3-9099-C40C66FF867C}">
                  <a14:compatExt spid="_x0000_s39941"/>
                </a:ext>
                <a:ext uri="{FF2B5EF4-FFF2-40B4-BE49-F238E27FC236}">
                  <a16:creationId xmlns:a16="http://schemas.microsoft.com/office/drawing/2014/main" id="{00000000-0008-0000-2200-00000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2" name="Button 6" hidden="1">
              <a:extLst>
                <a:ext uri="{63B3BB69-23CF-44E3-9099-C40C66FF867C}">
                  <a14:compatExt spid="_x0000_s39942"/>
                </a:ext>
                <a:ext uri="{FF2B5EF4-FFF2-40B4-BE49-F238E27FC236}">
                  <a16:creationId xmlns:a16="http://schemas.microsoft.com/office/drawing/2014/main" id="{00000000-0008-0000-2200-00000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3" name="Button 7" hidden="1">
              <a:extLst>
                <a:ext uri="{63B3BB69-23CF-44E3-9099-C40C66FF867C}">
                  <a14:compatExt spid="_x0000_s39943"/>
                </a:ext>
                <a:ext uri="{FF2B5EF4-FFF2-40B4-BE49-F238E27FC236}">
                  <a16:creationId xmlns:a16="http://schemas.microsoft.com/office/drawing/2014/main" id="{00000000-0008-0000-2200-00000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2200-00000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2200-00000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6" name="Button 10" hidden="1">
              <a:extLst>
                <a:ext uri="{63B3BB69-23CF-44E3-9099-C40C66FF867C}">
                  <a14:compatExt spid="_x0000_s39946"/>
                </a:ext>
                <a:ext uri="{FF2B5EF4-FFF2-40B4-BE49-F238E27FC236}">
                  <a16:creationId xmlns:a16="http://schemas.microsoft.com/office/drawing/2014/main" id="{00000000-0008-0000-2200-00000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7" name="Button 11" hidden="1">
              <a:extLst>
                <a:ext uri="{63B3BB69-23CF-44E3-9099-C40C66FF867C}">
                  <a14:compatExt spid="_x0000_s39947"/>
                </a:ext>
                <a:ext uri="{FF2B5EF4-FFF2-40B4-BE49-F238E27FC236}">
                  <a16:creationId xmlns:a16="http://schemas.microsoft.com/office/drawing/2014/main" id="{00000000-0008-0000-2200-00000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8" name="Button 12" hidden="1">
              <a:extLst>
                <a:ext uri="{63B3BB69-23CF-44E3-9099-C40C66FF867C}">
                  <a14:compatExt spid="_x0000_s39948"/>
                </a:ext>
                <a:ext uri="{FF2B5EF4-FFF2-40B4-BE49-F238E27FC236}">
                  <a16:creationId xmlns:a16="http://schemas.microsoft.com/office/drawing/2014/main" id="{00000000-0008-0000-2200-00000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9" name="Button 13" hidden="1">
              <a:extLst>
                <a:ext uri="{63B3BB69-23CF-44E3-9099-C40C66FF867C}">
                  <a14:compatExt spid="_x0000_s39949"/>
                </a:ext>
                <a:ext uri="{FF2B5EF4-FFF2-40B4-BE49-F238E27FC236}">
                  <a16:creationId xmlns:a16="http://schemas.microsoft.com/office/drawing/2014/main" id="{00000000-0008-0000-2200-00000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50" name="Button 14" hidden="1">
              <a:extLst>
                <a:ext uri="{63B3BB69-23CF-44E3-9099-C40C66FF867C}">
                  <a14:compatExt spid="_x0000_s39950"/>
                </a:ext>
                <a:ext uri="{FF2B5EF4-FFF2-40B4-BE49-F238E27FC236}">
                  <a16:creationId xmlns:a16="http://schemas.microsoft.com/office/drawing/2014/main" id="{00000000-0008-0000-2200-00000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1" name="Button 15" hidden="1">
              <a:extLst>
                <a:ext uri="{63B3BB69-23CF-44E3-9099-C40C66FF867C}">
                  <a14:compatExt spid="_x0000_s39951"/>
                </a:ext>
                <a:ext uri="{FF2B5EF4-FFF2-40B4-BE49-F238E27FC236}">
                  <a16:creationId xmlns:a16="http://schemas.microsoft.com/office/drawing/2014/main" id="{00000000-0008-0000-2200-00000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2" name="Button 16" hidden="1">
              <a:extLst>
                <a:ext uri="{63B3BB69-23CF-44E3-9099-C40C66FF867C}">
                  <a14:compatExt spid="_x0000_s39952"/>
                </a:ext>
                <a:ext uri="{FF2B5EF4-FFF2-40B4-BE49-F238E27FC236}">
                  <a16:creationId xmlns:a16="http://schemas.microsoft.com/office/drawing/2014/main" id="{00000000-0008-0000-2200-00001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3" name="Button 17" hidden="1">
              <a:extLst>
                <a:ext uri="{63B3BB69-23CF-44E3-9099-C40C66FF867C}">
                  <a14:compatExt spid="_x0000_s39953"/>
                </a:ext>
                <a:ext uri="{FF2B5EF4-FFF2-40B4-BE49-F238E27FC236}">
                  <a16:creationId xmlns:a16="http://schemas.microsoft.com/office/drawing/2014/main" id="{00000000-0008-0000-2200-00001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4" name="Button 18" hidden="1">
              <a:extLst>
                <a:ext uri="{63B3BB69-23CF-44E3-9099-C40C66FF867C}">
                  <a14:compatExt spid="_x0000_s39954"/>
                </a:ext>
                <a:ext uri="{FF2B5EF4-FFF2-40B4-BE49-F238E27FC236}">
                  <a16:creationId xmlns:a16="http://schemas.microsoft.com/office/drawing/2014/main" id="{00000000-0008-0000-2200-00001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5" name="Button 19" hidden="1">
              <a:extLst>
                <a:ext uri="{63B3BB69-23CF-44E3-9099-C40C66FF867C}">
                  <a14:compatExt spid="_x0000_s39955"/>
                </a:ext>
                <a:ext uri="{FF2B5EF4-FFF2-40B4-BE49-F238E27FC236}">
                  <a16:creationId xmlns:a16="http://schemas.microsoft.com/office/drawing/2014/main" id="{00000000-0008-0000-2200-00001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2200-00001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2200-00001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2200-00001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2200-00001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0" name="Button 24" hidden="1">
              <a:extLst>
                <a:ext uri="{63B3BB69-23CF-44E3-9099-C40C66FF867C}">
                  <a14:compatExt spid="_x0000_s39960"/>
                </a:ext>
                <a:ext uri="{FF2B5EF4-FFF2-40B4-BE49-F238E27FC236}">
                  <a16:creationId xmlns:a16="http://schemas.microsoft.com/office/drawing/2014/main" id="{00000000-0008-0000-2200-00001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1" name="Button 25" hidden="1">
              <a:extLst>
                <a:ext uri="{63B3BB69-23CF-44E3-9099-C40C66FF867C}">
                  <a14:compatExt spid="_x0000_s39961"/>
                </a:ext>
                <a:ext uri="{FF2B5EF4-FFF2-40B4-BE49-F238E27FC236}">
                  <a16:creationId xmlns:a16="http://schemas.microsoft.com/office/drawing/2014/main" id="{00000000-0008-0000-2200-00001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2" name="Button 26" hidden="1">
              <a:extLst>
                <a:ext uri="{63B3BB69-23CF-44E3-9099-C40C66FF867C}">
                  <a14:compatExt spid="_x0000_s39962"/>
                </a:ext>
                <a:ext uri="{FF2B5EF4-FFF2-40B4-BE49-F238E27FC236}">
                  <a16:creationId xmlns:a16="http://schemas.microsoft.com/office/drawing/2014/main" id="{00000000-0008-0000-2200-00001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2200-00001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4" name="Button 28" hidden="1">
              <a:extLst>
                <a:ext uri="{63B3BB69-23CF-44E3-9099-C40C66FF867C}">
                  <a14:compatExt spid="_x0000_s39964"/>
                </a:ext>
                <a:ext uri="{FF2B5EF4-FFF2-40B4-BE49-F238E27FC236}">
                  <a16:creationId xmlns:a16="http://schemas.microsoft.com/office/drawing/2014/main" id="{00000000-0008-0000-2200-00001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5" name="Button 29" hidden="1">
              <a:extLst>
                <a:ext uri="{63B3BB69-23CF-44E3-9099-C40C66FF867C}">
                  <a14:compatExt spid="_x0000_s39965"/>
                </a:ext>
                <a:ext uri="{FF2B5EF4-FFF2-40B4-BE49-F238E27FC236}">
                  <a16:creationId xmlns:a16="http://schemas.microsoft.com/office/drawing/2014/main" id="{00000000-0008-0000-2200-00001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6" name="Button 30" hidden="1">
              <a:extLst>
                <a:ext uri="{63B3BB69-23CF-44E3-9099-C40C66FF867C}">
                  <a14:compatExt spid="_x0000_s39966"/>
                </a:ext>
                <a:ext uri="{FF2B5EF4-FFF2-40B4-BE49-F238E27FC236}">
                  <a16:creationId xmlns:a16="http://schemas.microsoft.com/office/drawing/2014/main" id="{00000000-0008-0000-2200-00001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7" name="Button 31" hidden="1">
              <a:extLst>
                <a:ext uri="{63B3BB69-23CF-44E3-9099-C40C66FF867C}">
                  <a14:compatExt spid="_x0000_s39967"/>
                </a:ext>
                <a:ext uri="{FF2B5EF4-FFF2-40B4-BE49-F238E27FC236}">
                  <a16:creationId xmlns:a16="http://schemas.microsoft.com/office/drawing/2014/main" id="{00000000-0008-0000-2200-00001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8" name="Button 32" hidden="1">
              <a:extLst>
                <a:ext uri="{63B3BB69-23CF-44E3-9099-C40C66FF867C}">
                  <a14:compatExt spid="_x0000_s39968"/>
                </a:ext>
                <a:ext uri="{FF2B5EF4-FFF2-40B4-BE49-F238E27FC236}">
                  <a16:creationId xmlns:a16="http://schemas.microsoft.com/office/drawing/2014/main" id="{00000000-0008-0000-2200-00002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9" name="Button 33" hidden="1">
              <a:extLst>
                <a:ext uri="{63B3BB69-23CF-44E3-9099-C40C66FF867C}">
                  <a14:compatExt spid="_x0000_s39969"/>
                </a:ext>
                <a:ext uri="{FF2B5EF4-FFF2-40B4-BE49-F238E27FC236}">
                  <a16:creationId xmlns:a16="http://schemas.microsoft.com/office/drawing/2014/main" id="{00000000-0008-0000-2200-00002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70" name="Button 34" hidden="1">
              <a:extLst>
                <a:ext uri="{63B3BB69-23CF-44E3-9099-C40C66FF867C}">
                  <a14:compatExt spid="_x0000_s39970"/>
                </a:ext>
                <a:ext uri="{FF2B5EF4-FFF2-40B4-BE49-F238E27FC236}">
                  <a16:creationId xmlns:a16="http://schemas.microsoft.com/office/drawing/2014/main" id="{00000000-0008-0000-2200-00002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1" name="Button 35" hidden="1">
              <a:extLst>
                <a:ext uri="{63B3BB69-23CF-44E3-9099-C40C66FF867C}">
                  <a14:compatExt spid="_x0000_s39971"/>
                </a:ext>
                <a:ext uri="{FF2B5EF4-FFF2-40B4-BE49-F238E27FC236}">
                  <a16:creationId xmlns:a16="http://schemas.microsoft.com/office/drawing/2014/main" id="{00000000-0008-0000-2200-00002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2" name="Button 36" hidden="1">
              <a:extLst>
                <a:ext uri="{63B3BB69-23CF-44E3-9099-C40C66FF867C}">
                  <a14:compatExt spid="_x0000_s39972"/>
                </a:ext>
                <a:ext uri="{FF2B5EF4-FFF2-40B4-BE49-F238E27FC236}">
                  <a16:creationId xmlns:a16="http://schemas.microsoft.com/office/drawing/2014/main" id="{00000000-0008-0000-2200-00002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3" name="Button 37" hidden="1">
              <a:extLst>
                <a:ext uri="{63B3BB69-23CF-44E3-9099-C40C66FF867C}">
                  <a14:compatExt spid="_x0000_s39973"/>
                </a:ext>
                <a:ext uri="{FF2B5EF4-FFF2-40B4-BE49-F238E27FC236}">
                  <a16:creationId xmlns:a16="http://schemas.microsoft.com/office/drawing/2014/main" id="{00000000-0008-0000-2200-00002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4" name="Button 38" hidden="1">
              <a:extLst>
                <a:ext uri="{63B3BB69-23CF-44E3-9099-C40C66FF867C}">
                  <a14:compatExt spid="_x0000_s39974"/>
                </a:ext>
                <a:ext uri="{FF2B5EF4-FFF2-40B4-BE49-F238E27FC236}">
                  <a16:creationId xmlns:a16="http://schemas.microsoft.com/office/drawing/2014/main" id="{00000000-0008-0000-2200-00002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5" name="Button 39" hidden="1">
              <a:extLst>
                <a:ext uri="{63B3BB69-23CF-44E3-9099-C40C66FF867C}">
                  <a14:compatExt spid="_x0000_s39975"/>
                </a:ext>
                <a:ext uri="{FF2B5EF4-FFF2-40B4-BE49-F238E27FC236}">
                  <a16:creationId xmlns:a16="http://schemas.microsoft.com/office/drawing/2014/main" id="{00000000-0008-0000-2200-00002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6" name="Button 40" hidden="1">
              <a:extLst>
                <a:ext uri="{63B3BB69-23CF-44E3-9099-C40C66FF867C}">
                  <a14:compatExt spid="_x0000_s39976"/>
                </a:ext>
                <a:ext uri="{FF2B5EF4-FFF2-40B4-BE49-F238E27FC236}">
                  <a16:creationId xmlns:a16="http://schemas.microsoft.com/office/drawing/2014/main" id="{00000000-0008-0000-2200-00002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7" name="Button 41" hidden="1">
              <a:extLst>
                <a:ext uri="{63B3BB69-23CF-44E3-9099-C40C66FF867C}">
                  <a14:compatExt spid="_x0000_s39977"/>
                </a:ext>
                <a:ext uri="{FF2B5EF4-FFF2-40B4-BE49-F238E27FC236}">
                  <a16:creationId xmlns:a16="http://schemas.microsoft.com/office/drawing/2014/main" id="{00000000-0008-0000-2200-00002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8" name="Button 42" hidden="1">
              <a:extLst>
                <a:ext uri="{63B3BB69-23CF-44E3-9099-C40C66FF867C}">
                  <a14:compatExt spid="_x0000_s39978"/>
                </a:ext>
                <a:ext uri="{FF2B5EF4-FFF2-40B4-BE49-F238E27FC236}">
                  <a16:creationId xmlns:a16="http://schemas.microsoft.com/office/drawing/2014/main" id="{00000000-0008-0000-2200-00002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79" name="Button 43" hidden="1">
              <a:extLst>
                <a:ext uri="{63B3BB69-23CF-44E3-9099-C40C66FF867C}">
                  <a14:compatExt spid="_x0000_s39979"/>
                </a:ext>
                <a:ext uri="{FF2B5EF4-FFF2-40B4-BE49-F238E27FC236}">
                  <a16:creationId xmlns:a16="http://schemas.microsoft.com/office/drawing/2014/main" id="{00000000-0008-0000-2200-00002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0" name="Button 44" hidden="1">
              <a:extLst>
                <a:ext uri="{63B3BB69-23CF-44E3-9099-C40C66FF867C}">
                  <a14:compatExt spid="_x0000_s39980"/>
                </a:ext>
                <a:ext uri="{FF2B5EF4-FFF2-40B4-BE49-F238E27FC236}">
                  <a16:creationId xmlns:a16="http://schemas.microsoft.com/office/drawing/2014/main" id="{00000000-0008-0000-2200-00002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1" name="Button 45" hidden="1">
              <a:extLst>
                <a:ext uri="{63B3BB69-23CF-44E3-9099-C40C66FF867C}">
                  <a14:compatExt spid="_x0000_s39981"/>
                </a:ext>
                <a:ext uri="{FF2B5EF4-FFF2-40B4-BE49-F238E27FC236}">
                  <a16:creationId xmlns:a16="http://schemas.microsoft.com/office/drawing/2014/main" id="{00000000-0008-0000-2200-00002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2" name="Button 46" hidden="1">
              <a:extLst>
                <a:ext uri="{63B3BB69-23CF-44E3-9099-C40C66FF867C}">
                  <a14:compatExt spid="_x0000_s39982"/>
                </a:ext>
                <a:ext uri="{FF2B5EF4-FFF2-40B4-BE49-F238E27FC236}">
                  <a16:creationId xmlns:a16="http://schemas.microsoft.com/office/drawing/2014/main" id="{00000000-0008-0000-2200-00002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3" name="Button 47" hidden="1">
              <a:extLst>
                <a:ext uri="{63B3BB69-23CF-44E3-9099-C40C66FF867C}">
                  <a14:compatExt spid="_x0000_s39983"/>
                </a:ext>
                <a:ext uri="{FF2B5EF4-FFF2-40B4-BE49-F238E27FC236}">
                  <a16:creationId xmlns:a16="http://schemas.microsoft.com/office/drawing/2014/main" id="{00000000-0008-0000-2200-00002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4" name="Button 48" hidden="1">
              <a:extLst>
                <a:ext uri="{63B3BB69-23CF-44E3-9099-C40C66FF867C}">
                  <a14:compatExt spid="_x0000_s39984"/>
                </a:ext>
                <a:ext uri="{FF2B5EF4-FFF2-40B4-BE49-F238E27FC236}">
                  <a16:creationId xmlns:a16="http://schemas.microsoft.com/office/drawing/2014/main" id="{00000000-0008-0000-2200-00003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5" name="Button 49" hidden="1">
              <a:extLst>
                <a:ext uri="{63B3BB69-23CF-44E3-9099-C40C66FF867C}">
                  <a14:compatExt spid="_x0000_s39985"/>
                </a:ext>
                <a:ext uri="{FF2B5EF4-FFF2-40B4-BE49-F238E27FC236}">
                  <a16:creationId xmlns:a16="http://schemas.microsoft.com/office/drawing/2014/main" id="{00000000-0008-0000-2200-00003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6" name="Button 50" hidden="1">
              <a:extLst>
                <a:ext uri="{63B3BB69-23CF-44E3-9099-C40C66FF867C}">
                  <a14:compatExt spid="_x0000_s39986"/>
                </a:ext>
                <a:ext uri="{FF2B5EF4-FFF2-40B4-BE49-F238E27FC236}">
                  <a16:creationId xmlns:a16="http://schemas.microsoft.com/office/drawing/2014/main" id="{00000000-0008-0000-2200-00003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7" name="Button 51" hidden="1">
              <a:extLst>
                <a:ext uri="{63B3BB69-23CF-44E3-9099-C40C66FF867C}">
                  <a14:compatExt spid="_x0000_s39987"/>
                </a:ext>
                <a:ext uri="{FF2B5EF4-FFF2-40B4-BE49-F238E27FC236}">
                  <a16:creationId xmlns:a16="http://schemas.microsoft.com/office/drawing/2014/main" id="{00000000-0008-0000-2200-00003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8" name="Button 52" hidden="1">
              <a:extLst>
                <a:ext uri="{63B3BB69-23CF-44E3-9099-C40C66FF867C}">
                  <a14:compatExt spid="_x0000_s39988"/>
                </a:ext>
                <a:ext uri="{FF2B5EF4-FFF2-40B4-BE49-F238E27FC236}">
                  <a16:creationId xmlns:a16="http://schemas.microsoft.com/office/drawing/2014/main" id="{00000000-0008-0000-2200-00003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9" name="Button 53" hidden="1">
              <a:extLst>
                <a:ext uri="{63B3BB69-23CF-44E3-9099-C40C66FF867C}">
                  <a14:compatExt spid="_x0000_s39989"/>
                </a:ext>
                <a:ext uri="{FF2B5EF4-FFF2-40B4-BE49-F238E27FC236}">
                  <a16:creationId xmlns:a16="http://schemas.microsoft.com/office/drawing/2014/main" id="{00000000-0008-0000-2200-00003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90" name="Button 54" hidden="1">
              <a:extLst>
                <a:ext uri="{63B3BB69-23CF-44E3-9099-C40C66FF867C}">
                  <a14:compatExt spid="_x0000_s39990"/>
                </a:ext>
                <a:ext uri="{FF2B5EF4-FFF2-40B4-BE49-F238E27FC236}">
                  <a16:creationId xmlns:a16="http://schemas.microsoft.com/office/drawing/2014/main" id="{00000000-0008-0000-2200-00003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1" name="Button 55" hidden="1">
              <a:extLst>
                <a:ext uri="{63B3BB69-23CF-44E3-9099-C40C66FF867C}">
                  <a14:compatExt spid="_x0000_s39991"/>
                </a:ext>
                <a:ext uri="{FF2B5EF4-FFF2-40B4-BE49-F238E27FC236}">
                  <a16:creationId xmlns:a16="http://schemas.microsoft.com/office/drawing/2014/main" id="{00000000-0008-0000-2200-00003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2" name="Button 56" hidden="1">
              <a:extLst>
                <a:ext uri="{63B3BB69-23CF-44E3-9099-C40C66FF867C}">
                  <a14:compatExt spid="_x0000_s39992"/>
                </a:ext>
                <a:ext uri="{FF2B5EF4-FFF2-40B4-BE49-F238E27FC236}">
                  <a16:creationId xmlns:a16="http://schemas.microsoft.com/office/drawing/2014/main" id="{00000000-0008-0000-2200-00003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3" name="Button 57" hidden="1">
              <a:extLst>
                <a:ext uri="{63B3BB69-23CF-44E3-9099-C40C66FF867C}">
                  <a14:compatExt spid="_x0000_s39993"/>
                </a:ext>
                <a:ext uri="{FF2B5EF4-FFF2-40B4-BE49-F238E27FC236}">
                  <a16:creationId xmlns:a16="http://schemas.microsoft.com/office/drawing/2014/main" id="{00000000-0008-0000-2200-00003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4" name="Button 58" hidden="1">
              <a:extLst>
                <a:ext uri="{63B3BB69-23CF-44E3-9099-C40C66FF867C}">
                  <a14:compatExt spid="_x0000_s39994"/>
                </a:ext>
                <a:ext uri="{FF2B5EF4-FFF2-40B4-BE49-F238E27FC236}">
                  <a16:creationId xmlns:a16="http://schemas.microsoft.com/office/drawing/2014/main" id="{00000000-0008-0000-2200-00003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29697" name="Button 1" hidden="1">
              <a:extLst>
                <a:ext uri="{63B3BB69-23CF-44E3-9099-C40C66FF867C}">
                  <a14:compatExt spid="_x0000_s29697"/>
                </a:ext>
                <a:ext uri="{FF2B5EF4-FFF2-40B4-BE49-F238E27FC236}">
                  <a16:creationId xmlns:a16="http://schemas.microsoft.com/office/drawing/2014/main" id="{00000000-0008-0000-2300-000001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9698" name="Button 2" hidden="1">
              <a:extLst>
                <a:ext uri="{63B3BB69-23CF-44E3-9099-C40C66FF867C}">
                  <a14:compatExt spid="_x0000_s29698"/>
                </a:ext>
                <a:ext uri="{FF2B5EF4-FFF2-40B4-BE49-F238E27FC236}">
                  <a16:creationId xmlns:a16="http://schemas.microsoft.com/office/drawing/2014/main" id="{00000000-0008-0000-2300-000002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699" name="Button 3" hidden="1">
              <a:extLst>
                <a:ext uri="{63B3BB69-23CF-44E3-9099-C40C66FF867C}">
                  <a14:compatExt spid="_x0000_s29699"/>
                </a:ext>
                <a:ext uri="{FF2B5EF4-FFF2-40B4-BE49-F238E27FC236}">
                  <a16:creationId xmlns:a16="http://schemas.microsoft.com/office/drawing/2014/main" id="{00000000-0008-0000-2300-000003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0" name="Button 4" hidden="1">
              <a:extLst>
                <a:ext uri="{63B3BB69-23CF-44E3-9099-C40C66FF867C}">
                  <a14:compatExt spid="_x0000_s29700"/>
                </a:ext>
                <a:ext uri="{FF2B5EF4-FFF2-40B4-BE49-F238E27FC236}">
                  <a16:creationId xmlns:a16="http://schemas.microsoft.com/office/drawing/2014/main" id="{00000000-0008-0000-2300-000004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1" name="Button 5" hidden="1">
              <a:extLst>
                <a:ext uri="{63B3BB69-23CF-44E3-9099-C40C66FF867C}">
                  <a14:compatExt spid="_x0000_s29701"/>
                </a:ext>
                <a:ext uri="{FF2B5EF4-FFF2-40B4-BE49-F238E27FC236}">
                  <a16:creationId xmlns:a16="http://schemas.microsoft.com/office/drawing/2014/main" id="{00000000-0008-0000-2300-000005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2" name="Button 6" hidden="1">
              <a:extLst>
                <a:ext uri="{63B3BB69-23CF-44E3-9099-C40C66FF867C}">
                  <a14:compatExt spid="_x0000_s29702"/>
                </a:ext>
                <a:ext uri="{FF2B5EF4-FFF2-40B4-BE49-F238E27FC236}">
                  <a16:creationId xmlns:a16="http://schemas.microsoft.com/office/drawing/2014/main" id="{00000000-0008-0000-2300-000006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30721" name="Button 1" hidden="1">
              <a:extLst>
                <a:ext uri="{63B3BB69-23CF-44E3-9099-C40C66FF867C}">
                  <a14:compatExt spid="_x0000_s30721"/>
                </a:ext>
                <a:ext uri="{FF2B5EF4-FFF2-40B4-BE49-F238E27FC236}">
                  <a16:creationId xmlns:a16="http://schemas.microsoft.com/office/drawing/2014/main" id="{00000000-0008-0000-2400-000001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30722" name="Button 2" hidden="1">
              <a:extLst>
                <a:ext uri="{63B3BB69-23CF-44E3-9099-C40C66FF867C}">
                  <a14:compatExt spid="_x0000_s30722"/>
                </a:ext>
                <a:ext uri="{FF2B5EF4-FFF2-40B4-BE49-F238E27FC236}">
                  <a16:creationId xmlns:a16="http://schemas.microsoft.com/office/drawing/2014/main" id="{00000000-0008-0000-2400-000002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3" name="Button 3" hidden="1">
              <a:extLst>
                <a:ext uri="{63B3BB69-23CF-44E3-9099-C40C66FF867C}">
                  <a14:compatExt spid="_x0000_s30723"/>
                </a:ext>
                <a:ext uri="{FF2B5EF4-FFF2-40B4-BE49-F238E27FC236}">
                  <a16:creationId xmlns:a16="http://schemas.microsoft.com/office/drawing/2014/main" id="{00000000-0008-0000-2400-000003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4" name="Button 4" hidden="1">
              <a:extLst>
                <a:ext uri="{63B3BB69-23CF-44E3-9099-C40C66FF867C}">
                  <a14:compatExt spid="_x0000_s30724"/>
                </a:ext>
                <a:ext uri="{FF2B5EF4-FFF2-40B4-BE49-F238E27FC236}">
                  <a16:creationId xmlns:a16="http://schemas.microsoft.com/office/drawing/2014/main" id="{00000000-0008-0000-2400-000004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5" name="Button 5" hidden="1">
              <a:extLst>
                <a:ext uri="{63B3BB69-23CF-44E3-9099-C40C66FF867C}">
                  <a14:compatExt spid="_x0000_s30725"/>
                </a:ext>
                <a:ext uri="{FF2B5EF4-FFF2-40B4-BE49-F238E27FC236}">
                  <a16:creationId xmlns:a16="http://schemas.microsoft.com/office/drawing/2014/main" id="{00000000-0008-0000-2400-000005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6" name="Button 6" hidden="1">
              <a:extLst>
                <a:ext uri="{63B3BB69-23CF-44E3-9099-C40C66FF867C}">
                  <a14:compatExt spid="_x0000_s30726"/>
                </a:ext>
                <a:ext uri="{FF2B5EF4-FFF2-40B4-BE49-F238E27FC236}">
                  <a16:creationId xmlns:a16="http://schemas.microsoft.com/office/drawing/2014/main" id="{00000000-0008-0000-2400-000006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31745" name="Button 1" hidden="1">
              <a:extLst>
                <a:ext uri="{63B3BB69-23CF-44E3-9099-C40C66FF867C}">
                  <a14:compatExt spid="_x0000_s31745"/>
                </a:ext>
                <a:ext uri="{FF2B5EF4-FFF2-40B4-BE49-F238E27FC236}">
                  <a16:creationId xmlns:a16="http://schemas.microsoft.com/office/drawing/2014/main" id="{00000000-0008-0000-2500-000001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31746" name="Button 2" hidden="1">
              <a:extLst>
                <a:ext uri="{63B3BB69-23CF-44E3-9099-C40C66FF867C}">
                  <a14:compatExt spid="_x0000_s31746"/>
                </a:ext>
                <a:ext uri="{FF2B5EF4-FFF2-40B4-BE49-F238E27FC236}">
                  <a16:creationId xmlns:a16="http://schemas.microsoft.com/office/drawing/2014/main" id="{00000000-0008-0000-2500-000002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7" name="Button 3" hidden="1">
              <a:extLst>
                <a:ext uri="{63B3BB69-23CF-44E3-9099-C40C66FF867C}">
                  <a14:compatExt spid="_x0000_s31747"/>
                </a:ext>
                <a:ext uri="{FF2B5EF4-FFF2-40B4-BE49-F238E27FC236}">
                  <a16:creationId xmlns:a16="http://schemas.microsoft.com/office/drawing/2014/main" id="{00000000-0008-0000-2500-000003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8" name="Button 4" hidden="1">
              <a:extLst>
                <a:ext uri="{63B3BB69-23CF-44E3-9099-C40C66FF867C}">
                  <a14:compatExt spid="_x0000_s31748"/>
                </a:ext>
                <a:ext uri="{FF2B5EF4-FFF2-40B4-BE49-F238E27FC236}">
                  <a16:creationId xmlns:a16="http://schemas.microsoft.com/office/drawing/2014/main" id="{00000000-0008-0000-2500-000004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9" name="Button 5" hidden="1">
              <a:extLst>
                <a:ext uri="{63B3BB69-23CF-44E3-9099-C40C66FF867C}">
                  <a14:compatExt spid="_x0000_s31749"/>
                </a:ext>
                <a:ext uri="{FF2B5EF4-FFF2-40B4-BE49-F238E27FC236}">
                  <a16:creationId xmlns:a16="http://schemas.microsoft.com/office/drawing/2014/main" id="{00000000-0008-0000-2500-000005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50" name="Button 6" hidden="1">
              <a:extLst>
                <a:ext uri="{63B3BB69-23CF-44E3-9099-C40C66FF867C}">
                  <a14:compatExt spid="_x0000_s31750"/>
                </a:ext>
                <a:ext uri="{FF2B5EF4-FFF2-40B4-BE49-F238E27FC236}">
                  <a16:creationId xmlns:a16="http://schemas.microsoft.com/office/drawing/2014/main" id="{00000000-0008-0000-2500-000006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9" name="Button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6147" name="Button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6148" name="Button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1" name="Button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2" name="Button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409575</xdr:colOff>
          <xdr:row>77</xdr:row>
          <xdr:rowOff>28575</xdr:rowOff>
        </xdr:from>
        <xdr:to>
          <xdr:col>14</xdr:col>
          <xdr:colOff>752475</xdr:colOff>
          <xdr:row>78</xdr:row>
          <xdr:rowOff>76200</xdr:rowOff>
        </xdr:to>
        <xdr:sp macro="" textlink="">
          <xdr:nvSpPr>
            <xdr:cNvPr id="7173" name="Button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71</xdr:row>
          <xdr:rowOff>47625</xdr:rowOff>
        </xdr:from>
        <xdr:to>
          <xdr:col>15</xdr:col>
          <xdr:colOff>542925</xdr:colOff>
          <xdr:row>72</xdr:row>
          <xdr:rowOff>104775</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19" name="Button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0" name="Button 4" hidden="1">
              <a:extLst>
                <a:ext uri="{63B3BB69-23CF-44E3-9099-C40C66FF867C}">
                  <a14:compatExt spid="_x0000_s9220"/>
                </a:ext>
                <a:ext uri="{FF2B5EF4-FFF2-40B4-BE49-F238E27FC236}">
                  <a16:creationId xmlns:a16="http://schemas.microsoft.com/office/drawing/2014/main" id="{00000000-0008-0000-0900-000004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1" name="Button 5" hidden="1">
              <a:extLst>
                <a:ext uri="{63B3BB69-23CF-44E3-9099-C40C66FF867C}">
                  <a14:compatExt spid="_x0000_s9221"/>
                </a:ext>
                <a:ext uri="{FF2B5EF4-FFF2-40B4-BE49-F238E27FC236}">
                  <a16:creationId xmlns:a16="http://schemas.microsoft.com/office/drawing/2014/main" id="{00000000-0008-0000-0900-000005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2" name="Button 6" hidden="1">
              <a:extLst>
                <a:ext uri="{63B3BB69-23CF-44E3-9099-C40C66FF867C}">
                  <a14:compatExt spid="_x0000_s9222"/>
                </a:ext>
                <a:ext uri="{FF2B5EF4-FFF2-40B4-BE49-F238E27FC236}">
                  <a16:creationId xmlns:a16="http://schemas.microsoft.com/office/drawing/2014/main" id="{00000000-0008-0000-0900-000006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9.vml"/><Relationship Id="rId7" Type="http://schemas.openxmlformats.org/officeDocument/2006/relationships/ctrlProp" Target="../ctrlProps/ctrlProp32.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0.vml"/><Relationship Id="rId7" Type="http://schemas.openxmlformats.org/officeDocument/2006/relationships/ctrlProp" Target="../ctrlProps/ctrlProp38.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1.vml"/><Relationship Id="rId7" Type="http://schemas.openxmlformats.org/officeDocument/2006/relationships/ctrlProp" Target="../ctrlProps/ctrlProp44.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12.vml"/><Relationship Id="rId7" Type="http://schemas.openxmlformats.org/officeDocument/2006/relationships/ctrlProp" Target="../ctrlProps/ctrlProp49.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 Id="rId9" Type="http://schemas.openxmlformats.org/officeDocument/2006/relationships/ctrlProp" Target="../ctrlProps/ctrlProp51.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61.xml"/><Relationship Id="rId18" Type="http://schemas.openxmlformats.org/officeDocument/2006/relationships/ctrlProp" Target="../ctrlProps/ctrlProp66.xml"/><Relationship Id="rId26" Type="http://schemas.openxmlformats.org/officeDocument/2006/relationships/ctrlProp" Target="../ctrlProps/ctrlProp74.xml"/><Relationship Id="rId39" Type="http://schemas.openxmlformats.org/officeDocument/2006/relationships/ctrlProp" Target="../ctrlProps/ctrlProp87.xml"/><Relationship Id="rId21" Type="http://schemas.openxmlformats.org/officeDocument/2006/relationships/ctrlProp" Target="../ctrlProps/ctrlProp69.xml"/><Relationship Id="rId34" Type="http://schemas.openxmlformats.org/officeDocument/2006/relationships/ctrlProp" Target="../ctrlProps/ctrlProp82.xml"/><Relationship Id="rId42" Type="http://schemas.openxmlformats.org/officeDocument/2006/relationships/ctrlProp" Target="../ctrlProps/ctrlProp90.xml"/><Relationship Id="rId47" Type="http://schemas.openxmlformats.org/officeDocument/2006/relationships/ctrlProp" Target="../ctrlProps/ctrlProp95.xml"/><Relationship Id="rId50" Type="http://schemas.openxmlformats.org/officeDocument/2006/relationships/ctrlProp" Target="../ctrlProps/ctrlProp98.xml"/><Relationship Id="rId55" Type="http://schemas.openxmlformats.org/officeDocument/2006/relationships/ctrlProp" Target="../ctrlProps/ctrlProp103.xml"/><Relationship Id="rId7" Type="http://schemas.openxmlformats.org/officeDocument/2006/relationships/ctrlProp" Target="../ctrlProps/ctrlProp55.xml"/><Relationship Id="rId2" Type="http://schemas.openxmlformats.org/officeDocument/2006/relationships/drawing" Target="../drawings/drawing13.xml"/><Relationship Id="rId16" Type="http://schemas.openxmlformats.org/officeDocument/2006/relationships/ctrlProp" Target="../ctrlProps/ctrlProp64.xml"/><Relationship Id="rId29" Type="http://schemas.openxmlformats.org/officeDocument/2006/relationships/ctrlProp" Target="../ctrlProps/ctrlProp77.xml"/><Relationship Id="rId11" Type="http://schemas.openxmlformats.org/officeDocument/2006/relationships/ctrlProp" Target="../ctrlProps/ctrlProp59.xml"/><Relationship Id="rId24" Type="http://schemas.openxmlformats.org/officeDocument/2006/relationships/ctrlProp" Target="../ctrlProps/ctrlProp72.xml"/><Relationship Id="rId32" Type="http://schemas.openxmlformats.org/officeDocument/2006/relationships/ctrlProp" Target="../ctrlProps/ctrlProp80.xml"/><Relationship Id="rId37" Type="http://schemas.openxmlformats.org/officeDocument/2006/relationships/ctrlProp" Target="../ctrlProps/ctrlProp85.xml"/><Relationship Id="rId40" Type="http://schemas.openxmlformats.org/officeDocument/2006/relationships/ctrlProp" Target="../ctrlProps/ctrlProp88.xml"/><Relationship Id="rId45" Type="http://schemas.openxmlformats.org/officeDocument/2006/relationships/ctrlProp" Target="../ctrlProps/ctrlProp93.xml"/><Relationship Id="rId53" Type="http://schemas.openxmlformats.org/officeDocument/2006/relationships/ctrlProp" Target="../ctrlProps/ctrlProp101.xml"/><Relationship Id="rId58" Type="http://schemas.openxmlformats.org/officeDocument/2006/relationships/ctrlProp" Target="../ctrlProps/ctrlProp106.xml"/><Relationship Id="rId5" Type="http://schemas.openxmlformats.org/officeDocument/2006/relationships/ctrlProp" Target="../ctrlProps/ctrlProp53.xml"/><Relationship Id="rId61" Type="http://schemas.openxmlformats.org/officeDocument/2006/relationships/ctrlProp" Target="../ctrlProps/ctrlProp109.xml"/><Relationship Id="rId19" Type="http://schemas.openxmlformats.org/officeDocument/2006/relationships/ctrlProp" Target="../ctrlProps/ctrlProp67.xml"/><Relationship Id="rId14" Type="http://schemas.openxmlformats.org/officeDocument/2006/relationships/ctrlProp" Target="../ctrlProps/ctrlProp62.xml"/><Relationship Id="rId22" Type="http://schemas.openxmlformats.org/officeDocument/2006/relationships/ctrlProp" Target="../ctrlProps/ctrlProp70.xml"/><Relationship Id="rId27" Type="http://schemas.openxmlformats.org/officeDocument/2006/relationships/ctrlProp" Target="../ctrlProps/ctrlProp75.xml"/><Relationship Id="rId30" Type="http://schemas.openxmlformats.org/officeDocument/2006/relationships/ctrlProp" Target="../ctrlProps/ctrlProp78.xml"/><Relationship Id="rId35" Type="http://schemas.openxmlformats.org/officeDocument/2006/relationships/ctrlProp" Target="../ctrlProps/ctrlProp83.xml"/><Relationship Id="rId43" Type="http://schemas.openxmlformats.org/officeDocument/2006/relationships/ctrlProp" Target="../ctrlProps/ctrlProp91.xml"/><Relationship Id="rId48" Type="http://schemas.openxmlformats.org/officeDocument/2006/relationships/ctrlProp" Target="../ctrlProps/ctrlProp96.xml"/><Relationship Id="rId56" Type="http://schemas.openxmlformats.org/officeDocument/2006/relationships/ctrlProp" Target="../ctrlProps/ctrlProp104.xml"/><Relationship Id="rId8" Type="http://schemas.openxmlformats.org/officeDocument/2006/relationships/ctrlProp" Target="../ctrlProps/ctrlProp56.xml"/><Relationship Id="rId51" Type="http://schemas.openxmlformats.org/officeDocument/2006/relationships/ctrlProp" Target="../ctrlProps/ctrlProp99.xml"/><Relationship Id="rId3" Type="http://schemas.openxmlformats.org/officeDocument/2006/relationships/vmlDrawing" Target="../drawings/vmlDrawing13.vml"/><Relationship Id="rId12" Type="http://schemas.openxmlformats.org/officeDocument/2006/relationships/ctrlProp" Target="../ctrlProps/ctrlProp60.xml"/><Relationship Id="rId17" Type="http://schemas.openxmlformats.org/officeDocument/2006/relationships/ctrlProp" Target="../ctrlProps/ctrlProp65.xml"/><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20" Type="http://schemas.openxmlformats.org/officeDocument/2006/relationships/ctrlProp" Target="../ctrlProps/ctrlProp68.xml"/><Relationship Id="rId41" Type="http://schemas.openxmlformats.org/officeDocument/2006/relationships/ctrlProp" Target="../ctrlProps/ctrlProp89.xml"/><Relationship Id="rId54" Type="http://schemas.openxmlformats.org/officeDocument/2006/relationships/ctrlProp" Target="../ctrlProps/ctrlProp102.xml"/><Relationship Id="rId1" Type="http://schemas.openxmlformats.org/officeDocument/2006/relationships/printerSettings" Target="../printerSettings/printerSettings14.bin"/><Relationship Id="rId6" Type="http://schemas.openxmlformats.org/officeDocument/2006/relationships/ctrlProp" Target="../ctrlProps/ctrlProp54.xml"/><Relationship Id="rId15" Type="http://schemas.openxmlformats.org/officeDocument/2006/relationships/ctrlProp" Target="../ctrlProps/ctrlProp63.xml"/><Relationship Id="rId23" Type="http://schemas.openxmlformats.org/officeDocument/2006/relationships/ctrlProp" Target="../ctrlProps/ctrlProp71.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ctrlProp" Target="../ctrlProps/ctrlProp58.xml"/><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19.xml"/><Relationship Id="rId18" Type="http://schemas.openxmlformats.org/officeDocument/2006/relationships/ctrlProp" Target="../ctrlProps/ctrlProp124.xml"/><Relationship Id="rId26" Type="http://schemas.openxmlformats.org/officeDocument/2006/relationships/ctrlProp" Target="../ctrlProps/ctrlProp132.xml"/><Relationship Id="rId39" Type="http://schemas.openxmlformats.org/officeDocument/2006/relationships/ctrlProp" Target="../ctrlProps/ctrlProp145.xml"/><Relationship Id="rId21" Type="http://schemas.openxmlformats.org/officeDocument/2006/relationships/ctrlProp" Target="../ctrlProps/ctrlProp127.xml"/><Relationship Id="rId34" Type="http://schemas.openxmlformats.org/officeDocument/2006/relationships/ctrlProp" Target="../ctrlProps/ctrlProp140.xml"/><Relationship Id="rId42" Type="http://schemas.openxmlformats.org/officeDocument/2006/relationships/ctrlProp" Target="../ctrlProps/ctrlProp148.xml"/><Relationship Id="rId47" Type="http://schemas.openxmlformats.org/officeDocument/2006/relationships/ctrlProp" Target="../ctrlProps/ctrlProp153.xml"/><Relationship Id="rId50" Type="http://schemas.openxmlformats.org/officeDocument/2006/relationships/ctrlProp" Target="../ctrlProps/ctrlProp156.xml"/><Relationship Id="rId55" Type="http://schemas.openxmlformats.org/officeDocument/2006/relationships/ctrlProp" Target="../ctrlProps/ctrlProp161.xml"/><Relationship Id="rId7" Type="http://schemas.openxmlformats.org/officeDocument/2006/relationships/ctrlProp" Target="../ctrlProps/ctrlProp113.xml"/><Relationship Id="rId2" Type="http://schemas.openxmlformats.org/officeDocument/2006/relationships/drawing" Target="../drawings/drawing14.xml"/><Relationship Id="rId16" Type="http://schemas.openxmlformats.org/officeDocument/2006/relationships/ctrlProp" Target="../ctrlProps/ctrlProp122.xml"/><Relationship Id="rId29" Type="http://schemas.openxmlformats.org/officeDocument/2006/relationships/ctrlProp" Target="../ctrlProps/ctrlProp135.xml"/><Relationship Id="rId11" Type="http://schemas.openxmlformats.org/officeDocument/2006/relationships/ctrlProp" Target="../ctrlProps/ctrlProp117.xml"/><Relationship Id="rId24" Type="http://schemas.openxmlformats.org/officeDocument/2006/relationships/ctrlProp" Target="../ctrlProps/ctrlProp130.xml"/><Relationship Id="rId32" Type="http://schemas.openxmlformats.org/officeDocument/2006/relationships/ctrlProp" Target="../ctrlProps/ctrlProp138.xml"/><Relationship Id="rId37" Type="http://schemas.openxmlformats.org/officeDocument/2006/relationships/ctrlProp" Target="../ctrlProps/ctrlProp143.xml"/><Relationship Id="rId40" Type="http://schemas.openxmlformats.org/officeDocument/2006/relationships/ctrlProp" Target="../ctrlProps/ctrlProp146.xml"/><Relationship Id="rId45" Type="http://schemas.openxmlformats.org/officeDocument/2006/relationships/ctrlProp" Target="../ctrlProps/ctrlProp151.xml"/><Relationship Id="rId53" Type="http://schemas.openxmlformats.org/officeDocument/2006/relationships/ctrlProp" Target="../ctrlProps/ctrlProp159.xml"/><Relationship Id="rId58" Type="http://schemas.openxmlformats.org/officeDocument/2006/relationships/ctrlProp" Target="../ctrlProps/ctrlProp164.xml"/><Relationship Id="rId5" Type="http://schemas.openxmlformats.org/officeDocument/2006/relationships/ctrlProp" Target="../ctrlProps/ctrlProp111.xml"/><Relationship Id="rId61" Type="http://schemas.openxmlformats.org/officeDocument/2006/relationships/ctrlProp" Target="../ctrlProps/ctrlProp167.xml"/><Relationship Id="rId19" Type="http://schemas.openxmlformats.org/officeDocument/2006/relationships/ctrlProp" Target="../ctrlProps/ctrlProp125.xml"/><Relationship Id="rId14" Type="http://schemas.openxmlformats.org/officeDocument/2006/relationships/ctrlProp" Target="../ctrlProps/ctrlProp120.xml"/><Relationship Id="rId22" Type="http://schemas.openxmlformats.org/officeDocument/2006/relationships/ctrlProp" Target="../ctrlProps/ctrlProp128.xml"/><Relationship Id="rId27" Type="http://schemas.openxmlformats.org/officeDocument/2006/relationships/ctrlProp" Target="../ctrlProps/ctrlProp133.xml"/><Relationship Id="rId30" Type="http://schemas.openxmlformats.org/officeDocument/2006/relationships/ctrlProp" Target="../ctrlProps/ctrlProp136.xml"/><Relationship Id="rId35" Type="http://schemas.openxmlformats.org/officeDocument/2006/relationships/ctrlProp" Target="../ctrlProps/ctrlProp141.xml"/><Relationship Id="rId43" Type="http://schemas.openxmlformats.org/officeDocument/2006/relationships/ctrlProp" Target="../ctrlProps/ctrlProp149.xml"/><Relationship Id="rId48" Type="http://schemas.openxmlformats.org/officeDocument/2006/relationships/ctrlProp" Target="../ctrlProps/ctrlProp154.xml"/><Relationship Id="rId56" Type="http://schemas.openxmlformats.org/officeDocument/2006/relationships/ctrlProp" Target="../ctrlProps/ctrlProp162.xml"/><Relationship Id="rId8" Type="http://schemas.openxmlformats.org/officeDocument/2006/relationships/ctrlProp" Target="../ctrlProps/ctrlProp114.xml"/><Relationship Id="rId51" Type="http://schemas.openxmlformats.org/officeDocument/2006/relationships/ctrlProp" Target="../ctrlProps/ctrlProp157.xml"/><Relationship Id="rId3" Type="http://schemas.openxmlformats.org/officeDocument/2006/relationships/vmlDrawing" Target="../drawings/vmlDrawing14.vml"/><Relationship Id="rId12" Type="http://schemas.openxmlformats.org/officeDocument/2006/relationships/ctrlProp" Target="../ctrlProps/ctrlProp118.xml"/><Relationship Id="rId17" Type="http://schemas.openxmlformats.org/officeDocument/2006/relationships/ctrlProp" Target="../ctrlProps/ctrlProp123.xml"/><Relationship Id="rId25" Type="http://schemas.openxmlformats.org/officeDocument/2006/relationships/ctrlProp" Target="../ctrlProps/ctrlProp131.xml"/><Relationship Id="rId33" Type="http://schemas.openxmlformats.org/officeDocument/2006/relationships/ctrlProp" Target="../ctrlProps/ctrlProp139.xml"/><Relationship Id="rId38" Type="http://schemas.openxmlformats.org/officeDocument/2006/relationships/ctrlProp" Target="../ctrlProps/ctrlProp144.xml"/><Relationship Id="rId46" Type="http://schemas.openxmlformats.org/officeDocument/2006/relationships/ctrlProp" Target="../ctrlProps/ctrlProp152.xml"/><Relationship Id="rId59" Type="http://schemas.openxmlformats.org/officeDocument/2006/relationships/ctrlProp" Target="../ctrlProps/ctrlProp165.xml"/><Relationship Id="rId20" Type="http://schemas.openxmlformats.org/officeDocument/2006/relationships/ctrlProp" Target="../ctrlProps/ctrlProp126.xml"/><Relationship Id="rId41" Type="http://schemas.openxmlformats.org/officeDocument/2006/relationships/ctrlProp" Target="../ctrlProps/ctrlProp147.xml"/><Relationship Id="rId54" Type="http://schemas.openxmlformats.org/officeDocument/2006/relationships/ctrlProp" Target="../ctrlProps/ctrlProp160.xml"/><Relationship Id="rId1" Type="http://schemas.openxmlformats.org/officeDocument/2006/relationships/printerSettings" Target="../printerSettings/printerSettings15.bin"/><Relationship Id="rId6" Type="http://schemas.openxmlformats.org/officeDocument/2006/relationships/ctrlProp" Target="../ctrlProps/ctrlProp112.xml"/><Relationship Id="rId15" Type="http://schemas.openxmlformats.org/officeDocument/2006/relationships/ctrlProp" Target="../ctrlProps/ctrlProp121.xml"/><Relationship Id="rId23" Type="http://schemas.openxmlformats.org/officeDocument/2006/relationships/ctrlProp" Target="../ctrlProps/ctrlProp129.xml"/><Relationship Id="rId28" Type="http://schemas.openxmlformats.org/officeDocument/2006/relationships/ctrlProp" Target="../ctrlProps/ctrlProp134.xml"/><Relationship Id="rId36" Type="http://schemas.openxmlformats.org/officeDocument/2006/relationships/ctrlProp" Target="../ctrlProps/ctrlProp142.xml"/><Relationship Id="rId49" Type="http://schemas.openxmlformats.org/officeDocument/2006/relationships/ctrlProp" Target="../ctrlProps/ctrlProp155.xml"/><Relationship Id="rId57" Type="http://schemas.openxmlformats.org/officeDocument/2006/relationships/ctrlProp" Target="../ctrlProps/ctrlProp163.xml"/><Relationship Id="rId10" Type="http://schemas.openxmlformats.org/officeDocument/2006/relationships/ctrlProp" Target="../ctrlProps/ctrlProp116.xml"/><Relationship Id="rId31" Type="http://schemas.openxmlformats.org/officeDocument/2006/relationships/ctrlProp" Target="../ctrlProps/ctrlProp137.xml"/><Relationship Id="rId44" Type="http://schemas.openxmlformats.org/officeDocument/2006/relationships/ctrlProp" Target="../ctrlProps/ctrlProp150.xml"/><Relationship Id="rId52" Type="http://schemas.openxmlformats.org/officeDocument/2006/relationships/ctrlProp" Target="../ctrlProps/ctrlProp158.xml"/><Relationship Id="rId60" Type="http://schemas.openxmlformats.org/officeDocument/2006/relationships/ctrlProp" Target="../ctrlProps/ctrlProp166.xml"/><Relationship Id="rId4" Type="http://schemas.openxmlformats.org/officeDocument/2006/relationships/ctrlProp" Target="../ctrlProps/ctrlProp110.xml"/><Relationship Id="rId9" Type="http://schemas.openxmlformats.org/officeDocument/2006/relationships/ctrlProp" Target="../ctrlProps/ctrlProp1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3.xml"/><Relationship Id="rId3" Type="http://schemas.openxmlformats.org/officeDocument/2006/relationships/ctrlProp" Target="../ctrlProps/ctrlProp168.xml"/><Relationship Id="rId7" Type="http://schemas.openxmlformats.org/officeDocument/2006/relationships/ctrlProp" Target="../ctrlProps/ctrlProp172.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1.xml"/><Relationship Id="rId5" Type="http://schemas.openxmlformats.org/officeDocument/2006/relationships/ctrlProp" Target="../ctrlProps/ctrlProp170.xml"/><Relationship Id="rId4" Type="http://schemas.openxmlformats.org/officeDocument/2006/relationships/ctrlProp" Target="../ctrlProps/ctrlProp169.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79.xml"/><Relationship Id="rId3" Type="http://schemas.openxmlformats.org/officeDocument/2006/relationships/ctrlProp" Target="../ctrlProps/ctrlProp174.xml"/><Relationship Id="rId7" Type="http://schemas.openxmlformats.org/officeDocument/2006/relationships/ctrlProp" Target="../ctrlProps/ctrlProp178.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77.xml"/><Relationship Id="rId5" Type="http://schemas.openxmlformats.org/officeDocument/2006/relationships/ctrlProp" Target="../ctrlProps/ctrlProp176.xml"/><Relationship Id="rId4" Type="http://schemas.openxmlformats.org/officeDocument/2006/relationships/ctrlProp" Target="../ctrlProps/ctrlProp17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85.xml"/><Relationship Id="rId3" Type="http://schemas.openxmlformats.org/officeDocument/2006/relationships/ctrlProp" Target="../ctrlProps/ctrlProp180.xml"/><Relationship Id="rId7" Type="http://schemas.openxmlformats.org/officeDocument/2006/relationships/ctrlProp" Target="../ctrlProps/ctrlProp184.xml"/><Relationship Id="rId2" Type="http://schemas.openxmlformats.org/officeDocument/2006/relationships/vmlDrawing" Target="../drawings/vmlDrawing17.vml"/><Relationship Id="rId1" Type="http://schemas.openxmlformats.org/officeDocument/2006/relationships/drawing" Target="../drawings/drawing17.xml"/><Relationship Id="rId6" Type="http://schemas.openxmlformats.org/officeDocument/2006/relationships/ctrlProp" Target="../ctrlProps/ctrlProp183.xml"/><Relationship Id="rId5" Type="http://schemas.openxmlformats.org/officeDocument/2006/relationships/ctrlProp" Target="../ctrlProps/ctrlProp182.xml"/><Relationship Id="rId4" Type="http://schemas.openxmlformats.org/officeDocument/2006/relationships/ctrlProp" Target="../ctrlProps/ctrlProp181.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95.xml"/><Relationship Id="rId18" Type="http://schemas.openxmlformats.org/officeDocument/2006/relationships/ctrlProp" Target="../ctrlProps/ctrlProp200.xml"/><Relationship Id="rId26" Type="http://schemas.openxmlformats.org/officeDocument/2006/relationships/ctrlProp" Target="../ctrlProps/ctrlProp208.xml"/><Relationship Id="rId39" Type="http://schemas.openxmlformats.org/officeDocument/2006/relationships/ctrlProp" Target="../ctrlProps/ctrlProp221.xml"/><Relationship Id="rId21" Type="http://schemas.openxmlformats.org/officeDocument/2006/relationships/ctrlProp" Target="../ctrlProps/ctrlProp203.xml"/><Relationship Id="rId34" Type="http://schemas.openxmlformats.org/officeDocument/2006/relationships/ctrlProp" Target="../ctrlProps/ctrlProp216.xml"/><Relationship Id="rId42" Type="http://schemas.openxmlformats.org/officeDocument/2006/relationships/ctrlProp" Target="../ctrlProps/ctrlProp224.xml"/><Relationship Id="rId47" Type="http://schemas.openxmlformats.org/officeDocument/2006/relationships/ctrlProp" Target="../ctrlProps/ctrlProp229.xml"/><Relationship Id="rId50" Type="http://schemas.openxmlformats.org/officeDocument/2006/relationships/ctrlProp" Target="../ctrlProps/ctrlProp232.xml"/><Relationship Id="rId55" Type="http://schemas.openxmlformats.org/officeDocument/2006/relationships/ctrlProp" Target="../ctrlProps/ctrlProp237.xml"/><Relationship Id="rId7" Type="http://schemas.openxmlformats.org/officeDocument/2006/relationships/ctrlProp" Target="../ctrlProps/ctrlProp189.xml"/><Relationship Id="rId2" Type="http://schemas.openxmlformats.org/officeDocument/2006/relationships/drawing" Target="../drawings/drawing18.xml"/><Relationship Id="rId16" Type="http://schemas.openxmlformats.org/officeDocument/2006/relationships/ctrlProp" Target="../ctrlProps/ctrlProp198.xml"/><Relationship Id="rId29" Type="http://schemas.openxmlformats.org/officeDocument/2006/relationships/ctrlProp" Target="../ctrlProps/ctrlProp211.xml"/><Relationship Id="rId11" Type="http://schemas.openxmlformats.org/officeDocument/2006/relationships/ctrlProp" Target="../ctrlProps/ctrlProp193.xml"/><Relationship Id="rId24" Type="http://schemas.openxmlformats.org/officeDocument/2006/relationships/ctrlProp" Target="../ctrlProps/ctrlProp206.xml"/><Relationship Id="rId32" Type="http://schemas.openxmlformats.org/officeDocument/2006/relationships/ctrlProp" Target="../ctrlProps/ctrlProp214.xml"/><Relationship Id="rId37" Type="http://schemas.openxmlformats.org/officeDocument/2006/relationships/ctrlProp" Target="../ctrlProps/ctrlProp219.xml"/><Relationship Id="rId40" Type="http://schemas.openxmlformats.org/officeDocument/2006/relationships/ctrlProp" Target="../ctrlProps/ctrlProp222.xml"/><Relationship Id="rId45" Type="http://schemas.openxmlformats.org/officeDocument/2006/relationships/ctrlProp" Target="../ctrlProps/ctrlProp227.xml"/><Relationship Id="rId53" Type="http://schemas.openxmlformats.org/officeDocument/2006/relationships/ctrlProp" Target="../ctrlProps/ctrlProp235.xml"/><Relationship Id="rId58" Type="http://schemas.openxmlformats.org/officeDocument/2006/relationships/ctrlProp" Target="../ctrlProps/ctrlProp240.xml"/><Relationship Id="rId5" Type="http://schemas.openxmlformats.org/officeDocument/2006/relationships/ctrlProp" Target="../ctrlProps/ctrlProp187.xml"/><Relationship Id="rId61" Type="http://schemas.openxmlformats.org/officeDocument/2006/relationships/ctrlProp" Target="../ctrlProps/ctrlProp243.xml"/><Relationship Id="rId19" Type="http://schemas.openxmlformats.org/officeDocument/2006/relationships/ctrlProp" Target="../ctrlProps/ctrlProp201.xml"/><Relationship Id="rId14" Type="http://schemas.openxmlformats.org/officeDocument/2006/relationships/ctrlProp" Target="../ctrlProps/ctrlProp196.xml"/><Relationship Id="rId22" Type="http://schemas.openxmlformats.org/officeDocument/2006/relationships/ctrlProp" Target="../ctrlProps/ctrlProp204.xml"/><Relationship Id="rId27" Type="http://schemas.openxmlformats.org/officeDocument/2006/relationships/ctrlProp" Target="../ctrlProps/ctrlProp209.xml"/><Relationship Id="rId30" Type="http://schemas.openxmlformats.org/officeDocument/2006/relationships/ctrlProp" Target="../ctrlProps/ctrlProp212.xml"/><Relationship Id="rId35" Type="http://schemas.openxmlformats.org/officeDocument/2006/relationships/ctrlProp" Target="../ctrlProps/ctrlProp217.xml"/><Relationship Id="rId43" Type="http://schemas.openxmlformats.org/officeDocument/2006/relationships/ctrlProp" Target="../ctrlProps/ctrlProp225.xml"/><Relationship Id="rId48" Type="http://schemas.openxmlformats.org/officeDocument/2006/relationships/ctrlProp" Target="../ctrlProps/ctrlProp230.xml"/><Relationship Id="rId56" Type="http://schemas.openxmlformats.org/officeDocument/2006/relationships/ctrlProp" Target="../ctrlProps/ctrlProp238.xml"/><Relationship Id="rId8" Type="http://schemas.openxmlformats.org/officeDocument/2006/relationships/ctrlProp" Target="../ctrlProps/ctrlProp190.xml"/><Relationship Id="rId51" Type="http://schemas.openxmlformats.org/officeDocument/2006/relationships/ctrlProp" Target="../ctrlProps/ctrlProp233.xml"/><Relationship Id="rId3" Type="http://schemas.openxmlformats.org/officeDocument/2006/relationships/vmlDrawing" Target="../drawings/vmlDrawing18.vml"/><Relationship Id="rId12" Type="http://schemas.openxmlformats.org/officeDocument/2006/relationships/ctrlProp" Target="../ctrlProps/ctrlProp194.xml"/><Relationship Id="rId17" Type="http://schemas.openxmlformats.org/officeDocument/2006/relationships/ctrlProp" Target="../ctrlProps/ctrlProp199.xml"/><Relationship Id="rId25" Type="http://schemas.openxmlformats.org/officeDocument/2006/relationships/ctrlProp" Target="../ctrlProps/ctrlProp207.xml"/><Relationship Id="rId33" Type="http://schemas.openxmlformats.org/officeDocument/2006/relationships/ctrlProp" Target="../ctrlProps/ctrlProp215.xml"/><Relationship Id="rId38" Type="http://schemas.openxmlformats.org/officeDocument/2006/relationships/ctrlProp" Target="../ctrlProps/ctrlProp220.xml"/><Relationship Id="rId46" Type="http://schemas.openxmlformats.org/officeDocument/2006/relationships/ctrlProp" Target="../ctrlProps/ctrlProp228.xml"/><Relationship Id="rId59" Type="http://schemas.openxmlformats.org/officeDocument/2006/relationships/ctrlProp" Target="../ctrlProps/ctrlProp241.xml"/><Relationship Id="rId20" Type="http://schemas.openxmlformats.org/officeDocument/2006/relationships/ctrlProp" Target="../ctrlProps/ctrlProp202.xml"/><Relationship Id="rId41" Type="http://schemas.openxmlformats.org/officeDocument/2006/relationships/ctrlProp" Target="../ctrlProps/ctrlProp223.xml"/><Relationship Id="rId54" Type="http://schemas.openxmlformats.org/officeDocument/2006/relationships/ctrlProp" Target="../ctrlProps/ctrlProp236.xml"/><Relationship Id="rId1" Type="http://schemas.openxmlformats.org/officeDocument/2006/relationships/printerSettings" Target="../printerSettings/printerSettings16.bin"/><Relationship Id="rId6" Type="http://schemas.openxmlformats.org/officeDocument/2006/relationships/ctrlProp" Target="../ctrlProps/ctrlProp188.xml"/><Relationship Id="rId15" Type="http://schemas.openxmlformats.org/officeDocument/2006/relationships/ctrlProp" Target="../ctrlProps/ctrlProp197.xml"/><Relationship Id="rId23" Type="http://schemas.openxmlformats.org/officeDocument/2006/relationships/ctrlProp" Target="../ctrlProps/ctrlProp205.xml"/><Relationship Id="rId28" Type="http://schemas.openxmlformats.org/officeDocument/2006/relationships/ctrlProp" Target="../ctrlProps/ctrlProp210.xml"/><Relationship Id="rId36" Type="http://schemas.openxmlformats.org/officeDocument/2006/relationships/ctrlProp" Target="../ctrlProps/ctrlProp218.xml"/><Relationship Id="rId49" Type="http://schemas.openxmlformats.org/officeDocument/2006/relationships/ctrlProp" Target="../ctrlProps/ctrlProp231.xml"/><Relationship Id="rId57" Type="http://schemas.openxmlformats.org/officeDocument/2006/relationships/ctrlProp" Target="../ctrlProps/ctrlProp239.xml"/><Relationship Id="rId10" Type="http://schemas.openxmlformats.org/officeDocument/2006/relationships/ctrlProp" Target="../ctrlProps/ctrlProp192.xml"/><Relationship Id="rId31" Type="http://schemas.openxmlformats.org/officeDocument/2006/relationships/ctrlProp" Target="../ctrlProps/ctrlProp213.xml"/><Relationship Id="rId44" Type="http://schemas.openxmlformats.org/officeDocument/2006/relationships/ctrlProp" Target="../ctrlProps/ctrlProp226.xml"/><Relationship Id="rId52" Type="http://schemas.openxmlformats.org/officeDocument/2006/relationships/ctrlProp" Target="../ctrlProps/ctrlProp234.xml"/><Relationship Id="rId60" Type="http://schemas.openxmlformats.org/officeDocument/2006/relationships/ctrlProp" Target="../ctrlProps/ctrlProp242.xml"/><Relationship Id="rId4" Type="http://schemas.openxmlformats.org/officeDocument/2006/relationships/ctrlProp" Target="../ctrlProps/ctrlProp186.xml"/><Relationship Id="rId9" Type="http://schemas.openxmlformats.org/officeDocument/2006/relationships/ctrlProp" Target="../ctrlProps/ctrlProp19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253.xml"/><Relationship Id="rId18" Type="http://schemas.openxmlformats.org/officeDocument/2006/relationships/ctrlProp" Target="../ctrlProps/ctrlProp258.xml"/><Relationship Id="rId26" Type="http://schemas.openxmlformats.org/officeDocument/2006/relationships/ctrlProp" Target="../ctrlProps/ctrlProp266.xml"/><Relationship Id="rId39" Type="http://schemas.openxmlformats.org/officeDocument/2006/relationships/ctrlProp" Target="../ctrlProps/ctrlProp279.xml"/><Relationship Id="rId21" Type="http://schemas.openxmlformats.org/officeDocument/2006/relationships/ctrlProp" Target="../ctrlProps/ctrlProp261.xml"/><Relationship Id="rId34" Type="http://schemas.openxmlformats.org/officeDocument/2006/relationships/ctrlProp" Target="../ctrlProps/ctrlProp274.xml"/><Relationship Id="rId42" Type="http://schemas.openxmlformats.org/officeDocument/2006/relationships/ctrlProp" Target="../ctrlProps/ctrlProp282.xml"/><Relationship Id="rId47" Type="http://schemas.openxmlformats.org/officeDocument/2006/relationships/ctrlProp" Target="../ctrlProps/ctrlProp287.xml"/><Relationship Id="rId50" Type="http://schemas.openxmlformats.org/officeDocument/2006/relationships/ctrlProp" Target="../ctrlProps/ctrlProp290.xml"/><Relationship Id="rId55" Type="http://schemas.openxmlformats.org/officeDocument/2006/relationships/ctrlProp" Target="../ctrlProps/ctrlProp295.xml"/><Relationship Id="rId7" Type="http://schemas.openxmlformats.org/officeDocument/2006/relationships/ctrlProp" Target="../ctrlProps/ctrlProp247.xml"/><Relationship Id="rId2" Type="http://schemas.openxmlformats.org/officeDocument/2006/relationships/drawing" Target="../drawings/drawing19.xml"/><Relationship Id="rId16" Type="http://schemas.openxmlformats.org/officeDocument/2006/relationships/ctrlProp" Target="../ctrlProps/ctrlProp256.xml"/><Relationship Id="rId29" Type="http://schemas.openxmlformats.org/officeDocument/2006/relationships/ctrlProp" Target="../ctrlProps/ctrlProp269.xml"/><Relationship Id="rId11" Type="http://schemas.openxmlformats.org/officeDocument/2006/relationships/ctrlProp" Target="../ctrlProps/ctrlProp251.xml"/><Relationship Id="rId24" Type="http://schemas.openxmlformats.org/officeDocument/2006/relationships/ctrlProp" Target="../ctrlProps/ctrlProp264.xml"/><Relationship Id="rId32" Type="http://schemas.openxmlformats.org/officeDocument/2006/relationships/ctrlProp" Target="../ctrlProps/ctrlProp272.xml"/><Relationship Id="rId37" Type="http://schemas.openxmlformats.org/officeDocument/2006/relationships/ctrlProp" Target="../ctrlProps/ctrlProp277.xml"/><Relationship Id="rId40" Type="http://schemas.openxmlformats.org/officeDocument/2006/relationships/ctrlProp" Target="../ctrlProps/ctrlProp280.xml"/><Relationship Id="rId45" Type="http://schemas.openxmlformats.org/officeDocument/2006/relationships/ctrlProp" Target="../ctrlProps/ctrlProp285.xml"/><Relationship Id="rId53" Type="http://schemas.openxmlformats.org/officeDocument/2006/relationships/ctrlProp" Target="../ctrlProps/ctrlProp293.xml"/><Relationship Id="rId58" Type="http://schemas.openxmlformats.org/officeDocument/2006/relationships/ctrlProp" Target="../ctrlProps/ctrlProp298.xml"/><Relationship Id="rId5" Type="http://schemas.openxmlformats.org/officeDocument/2006/relationships/ctrlProp" Target="../ctrlProps/ctrlProp245.xml"/><Relationship Id="rId61" Type="http://schemas.openxmlformats.org/officeDocument/2006/relationships/ctrlProp" Target="../ctrlProps/ctrlProp301.xml"/><Relationship Id="rId19" Type="http://schemas.openxmlformats.org/officeDocument/2006/relationships/ctrlProp" Target="../ctrlProps/ctrlProp259.xml"/><Relationship Id="rId14" Type="http://schemas.openxmlformats.org/officeDocument/2006/relationships/ctrlProp" Target="../ctrlProps/ctrlProp254.xml"/><Relationship Id="rId22" Type="http://schemas.openxmlformats.org/officeDocument/2006/relationships/ctrlProp" Target="../ctrlProps/ctrlProp262.xml"/><Relationship Id="rId27" Type="http://schemas.openxmlformats.org/officeDocument/2006/relationships/ctrlProp" Target="../ctrlProps/ctrlProp267.xml"/><Relationship Id="rId30" Type="http://schemas.openxmlformats.org/officeDocument/2006/relationships/ctrlProp" Target="../ctrlProps/ctrlProp270.xml"/><Relationship Id="rId35" Type="http://schemas.openxmlformats.org/officeDocument/2006/relationships/ctrlProp" Target="../ctrlProps/ctrlProp275.xml"/><Relationship Id="rId43" Type="http://schemas.openxmlformats.org/officeDocument/2006/relationships/ctrlProp" Target="../ctrlProps/ctrlProp283.xml"/><Relationship Id="rId48" Type="http://schemas.openxmlformats.org/officeDocument/2006/relationships/ctrlProp" Target="../ctrlProps/ctrlProp288.xml"/><Relationship Id="rId56" Type="http://schemas.openxmlformats.org/officeDocument/2006/relationships/ctrlProp" Target="../ctrlProps/ctrlProp296.xml"/><Relationship Id="rId8" Type="http://schemas.openxmlformats.org/officeDocument/2006/relationships/ctrlProp" Target="../ctrlProps/ctrlProp248.xml"/><Relationship Id="rId51" Type="http://schemas.openxmlformats.org/officeDocument/2006/relationships/ctrlProp" Target="../ctrlProps/ctrlProp291.xml"/><Relationship Id="rId3" Type="http://schemas.openxmlformats.org/officeDocument/2006/relationships/vmlDrawing" Target="../drawings/vmlDrawing19.vml"/><Relationship Id="rId12" Type="http://schemas.openxmlformats.org/officeDocument/2006/relationships/ctrlProp" Target="../ctrlProps/ctrlProp252.xml"/><Relationship Id="rId17" Type="http://schemas.openxmlformats.org/officeDocument/2006/relationships/ctrlProp" Target="../ctrlProps/ctrlProp257.xml"/><Relationship Id="rId25" Type="http://schemas.openxmlformats.org/officeDocument/2006/relationships/ctrlProp" Target="../ctrlProps/ctrlProp265.xml"/><Relationship Id="rId33" Type="http://schemas.openxmlformats.org/officeDocument/2006/relationships/ctrlProp" Target="../ctrlProps/ctrlProp273.xml"/><Relationship Id="rId38" Type="http://schemas.openxmlformats.org/officeDocument/2006/relationships/ctrlProp" Target="../ctrlProps/ctrlProp278.xml"/><Relationship Id="rId46" Type="http://schemas.openxmlformats.org/officeDocument/2006/relationships/ctrlProp" Target="../ctrlProps/ctrlProp286.xml"/><Relationship Id="rId59" Type="http://schemas.openxmlformats.org/officeDocument/2006/relationships/ctrlProp" Target="../ctrlProps/ctrlProp299.xml"/><Relationship Id="rId20" Type="http://schemas.openxmlformats.org/officeDocument/2006/relationships/ctrlProp" Target="../ctrlProps/ctrlProp260.xml"/><Relationship Id="rId41" Type="http://schemas.openxmlformats.org/officeDocument/2006/relationships/ctrlProp" Target="../ctrlProps/ctrlProp281.xml"/><Relationship Id="rId54" Type="http://schemas.openxmlformats.org/officeDocument/2006/relationships/ctrlProp" Target="../ctrlProps/ctrlProp294.xml"/><Relationship Id="rId1" Type="http://schemas.openxmlformats.org/officeDocument/2006/relationships/printerSettings" Target="../printerSettings/printerSettings17.bin"/><Relationship Id="rId6" Type="http://schemas.openxmlformats.org/officeDocument/2006/relationships/ctrlProp" Target="../ctrlProps/ctrlProp246.xml"/><Relationship Id="rId15" Type="http://schemas.openxmlformats.org/officeDocument/2006/relationships/ctrlProp" Target="../ctrlProps/ctrlProp255.xml"/><Relationship Id="rId23" Type="http://schemas.openxmlformats.org/officeDocument/2006/relationships/ctrlProp" Target="../ctrlProps/ctrlProp263.xml"/><Relationship Id="rId28" Type="http://schemas.openxmlformats.org/officeDocument/2006/relationships/ctrlProp" Target="../ctrlProps/ctrlProp268.xml"/><Relationship Id="rId36" Type="http://schemas.openxmlformats.org/officeDocument/2006/relationships/ctrlProp" Target="../ctrlProps/ctrlProp276.xml"/><Relationship Id="rId49" Type="http://schemas.openxmlformats.org/officeDocument/2006/relationships/ctrlProp" Target="../ctrlProps/ctrlProp289.xml"/><Relationship Id="rId57" Type="http://schemas.openxmlformats.org/officeDocument/2006/relationships/ctrlProp" Target="../ctrlProps/ctrlProp297.xml"/><Relationship Id="rId10" Type="http://schemas.openxmlformats.org/officeDocument/2006/relationships/ctrlProp" Target="../ctrlProps/ctrlProp250.xml"/><Relationship Id="rId31" Type="http://schemas.openxmlformats.org/officeDocument/2006/relationships/ctrlProp" Target="../ctrlProps/ctrlProp271.xml"/><Relationship Id="rId44" Type="http://schemas.openxmlformats.org/officeDocument/2006/relationships/ctrlProp" Target="../ctrlProps/ctrlProp284.xml"/><Relationship Id="rId52" Type="http://schemas.openxmlformats.org/officeDocument/2006/relationships/ctrlProp" Target="../ctrlProps/ctrlProp292.xml"/><Relationship Id="rId60" Type="http://schemas.openxmlformats.org/officeDocument/2006/relationships/ctrlProp" Target="../ctrlProps/ctrlProp300.xml"/><Relationship Id="rId4" Type="http://schemas.openxmlformats.org/officeDocument/2006/relationships/ctrlProp" Target="../ctrlProps/ctrlProp244.xml"/><Relationship Id="rId9" Type="http://schemas.openxmlformats.org/officeDocument/2006/relationships/ctrlProp" Target="../ctrlProps/ctrlProp249.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11.xml"/><Relationship Id="rId18" Type="http://schemas.openxmlformats.org/officeDocument/2006/relationships/ctrlProp" Target="../ctrlProps/ctrlProp316.xml"/><Relationship Id="rId26" Type="http://schemas.openxmlformats.org/officeDocument/2006/relationships/ctrlProp" Target="../ctrlProps/ctrlProp324.xml"/><Relationship Id="rId39" Type="http://schemas.openxmlformats.org/officeDocument/2006/relationships/ctrlProp" Target="../ctrlProps/ctrlProp337.xml"/><Relationship Id="rId21" Type="http://schemas.openxmlformats.org/officeDocument/2006/relationships/ctrlProp" Target="../ctrlProps/ctrlProp319.xml"/><Relationship Id="rId34" Type="http://schemas.openxmlformats.org/officeDocument/2006/relationships/ctrlProp" Target="../ctrlProps/ctrlProp332.xml"/><Relationship Id="rId42" Type="http://schemas.openxmlformats.org/officeDocument/2006/relationships/ctrlProp" Target="../ctrlProps/ctrlProp340.xml"/><Relationship Id="rId47" Type="http://schemas.openxmlformats.org/officeDocument/2006/relationships/ctrlProp" Target="../ctrlProps/ctrlProp345.xml"/><Relationship Id="rId50" Type="http://schemas.openxmlformats.org/officeDocument/2006/relationships/ctrlProp" Target="../ctrlProps/ctrlProp348.xml"/><Relationship Id="rId55" Type="http://schemas.openxmlformats.org/officeDocument/2006/relationships/ctrlProp" Target="../ctrlProps/ctrlProp353.xml"/><Relationship Id="rId7" Type="http://schemas.openxmlformats.org/officeDocument/2006/relationships/ctrlProp" Target="../ctrlProps/ctrlProp305.xml"/><Relationship Id="rId2" Type="http://schemas.openxmlformats.org/officeDocument/2006/relationships/drawing" Target="../drawings/drawing20.xml"/><Relationship Id="rId16" Type="http://schemas.openxmlformats.org/officeDocument/2006/relationships/ctrlProp" Target="../ctrlProps/ctrlProp314.xml"/><Relationship Id="rId29" Type="http://schemas.openxmlformats.org/officeDocument/2006/relationships/ctrlProp" Target="../ctrlProps/ctrlProp327.xml"/><Relationship Id="rId11" Type="http://schemas.openxmlformats.org/officeDocument/2006/relationships/ctrlProp" Target="../ctrlProps/ctrlProp309.xml"/><Relationship Id="rId24" Type="http://schemas.openxmlformats.org/officeDocument/2006/relationships/ctrlProp" Target="../ctrlProps/ctrlProp322.xml"/><Relationship Id="rId32" Type="http://schemas.openxmlformats.org/officeDocument/2006/relationships/ctrlProp" Target="../ctrlProps/ctrlProp330.xml"/><Relationship Id="rId37" Type="http://schemas.openxmlformats.org/officeDocument/2006/relationships/ctrlProp" Target="../ctrlProps/ctrlProp335.xml"/><Relationship Id="rId40" Type="http://schemas.openxmlformats.org/officeDocument/2006/relationships/ctrlProp" Target="../ctrlProps/ctrlProp338.xml"/><Relationship Id="rId45" Type="http://schemas.openxmlformats.org/officeDocument/2006/relationships/ctrlProp" Target="../ctrlProps/ctrlProp343.xml"/><Relationship Id="rId53" Type="http://schemas.openxmlformats.org/officeDocument/2006/relationships/ctrlProp" Target="../ctrlProps/ctrlProp351.xml"/><Relationship Id="rId58" Type="http://schemas.openxmlformats.org/officeDocument/2006/relationships/ctrlProp" Target="../ctrlProps/ctrlProp356.xml"/><Relationship Id="rId5" Type="http://schemas.openxmlformats.org/officeDocument/2006/relationships/ctrlProp" Target="../ctrlProps/ctrlProp303.xml"/><Relationship Id="rId61" Type="http://schemas.openxmlformats.org/officeDocument/2006/relationships/ctrlProp" Target="../ctrlProps/ctrlProp359.xml"/><Relationship Id="rId19" Type="http://schemas.openxmlformats.org/officeDocument/2006/relationships/ctrlProp" Target="../ctrlProps/ctrlProp317.xml"/><Relationship Id="rId14" Type="http://schemas.openxmlformats.org/officeDocument/2006/relationships/ctrlProp" Target="../ctrlProps/ctrlProp312.xml"/><Relationship Id="rId22" Type="http://schemas.openxmlformats.org/officeDocument/2006/relationships/ctrlProp" Target="../ctrlProps/ctrlProp320.xml"/><Relationship Id="rId27" Type="http://schemas.openxmlformats.org/officeDocument/2006/relationships/ctrlProp" Target="../ctrlProps/ctrlProp325.xml"/><Relationship Id="rId30" Type="http://schemas.openxmlformats.org/officeDocument/2006/relationships/ctrlProp" Target="../ctrlProps/ctrlProp328.xml"/><Relationship Id="rId35" Type="http://schemas.openxmlformats.org/officeDocument/2006/relationships/ctrlProp" Target="../ctrlProps/ctrlProp333.xml"/><Relationship Id="rId43" Type="http://schemas.openxmlformats.org/officeDocument/2006/relationships/ctrlProp" Target="../ctrlProps/ctrlProp341.xml"/><Relationship Id="rId48" Type="http://schemas.openxmlformats.org/officeDocument/2006/relationships/ctrlProp" Target="../ctrlProps/ctrlProp346.xml"/><Relationship Id="rId56" Type="http://schemas.openxmlformats.org/officeDocument/2006/relationships/ctrlProp" Target="../ctrlProps/ctrlProp354.xml"/><Relationship Id="rId8" Type="http://schemas.openxmlformats.org/officeDocument/2006/relationships/ctrlProp" Target="../ctrlProps/ctrlProp306.xml"/><Relationship Id="rId51" Type="http://schemas.openxmlformats.org/officeDocument/2006/relationships/ctrlProp" Target="../ctrlProps/ctrlProp349.xml"/><Relationship Id="rId3" Type="http://schemas.openxmlformats.org/officeDocument/2006/relationships/vmlDrawing" Target="../drawings/vmlDrawing20.vml"/><Relationship Id="rId12" Type="http://schemas.openxmlformats.org/officeDocument/2006/relationships/ctrlProp" Target="../ctrlProps/ctrlProp310.xml"/><Relationship Id="rId17" Type="http://schemas.openxmlformats.org/officeDocument/2006/relationships/ctrlProp" Target="../ctrlProps/ctrlProp315.xml"/><Relationship Id="rId25" Type="http://schemas.openxmlformats.org/officeDocument/2006/relationships/ctrlProp" Target="../ctrlProps/ctrlProp323.xml"/><Relationship Id="rId33" Type="http://schemas.openxmlformats.org/officeDocument/2006/relationships/ctrlProp" Target="../ctrlProps/ctrlProp331.xml"/><Relationship Id="rId38" Type="http://schemas.openxmlformats.org/officeDocument/2006/relationships/ctrlProp" Target="../ctrlProps/ctrlProp336.xml"/><Relationship Id="rId46" Type="http://schemas.openxmlformats.org/officeDocument/2006/relationships/ctrlProp" Target="../ctrlProps/ctrlProp344.xml"/><Relationship Id="rId59" Type="http://schemas.openxmlformats.org/officeDocument/2006/relationships/ctrlProp" Target="../ctrlProps/ctrlProp357.xml"/><Relationship Id="rId20" Type="http://schemas.openxmlformats.org/officeDocument/2006/relationships/ctrlProp" Target="../ctrlProps/ctrlProp318.xml"/><Relationship Id="rId41" Type="http://schemas.openxmlformats.org/officeDocument/2006/relationships/ctrlProp" Target="../ctrlProps/ctrlProp339.xml"/><Relationship Id="rId54" Type="http://schemas.openxmlformats.org/officeDocument/2006/relationships/ctrlProp" Target="../ctrlProps/ctrlProp352.xml"/><Relationship Id="rId1" Type="http://schemas.openxmlformats.org/officeDocument/2006/relationships/printerSettings" Target="../printerSettings/printerSettings18.bin"/><Relationship Id="rId6" Type="http://schemas.openxmlformats.org/officeDocument/2006/relationships/ctrlProp" Target="../ctrlProps/ctrlProp304.xml"/><Relationship Id="rId15" Type="http://schemas.openxmlformats.org/officeDocument/2006/relationships/ctrlProp" Target="../ctrlProps/ctrlProp313.xml"/><Relationship Id="rId23" Type="http://schemas.openxmlformats.org/officeDocument/2006/relationships/ctrlProp" Target="../ctrlProps/ctrlProp321.xml"/><Relationship Id="rId28" Type="http://schemas.openxmlformats.org/officeDocument/2006/relationships/ctrlProp" Target="../ctrlProps/ctrlProp326.xml"/><Relationship Id="rId36" Type="http://schemas.openxmlformats.org/officeDocument/2006/relationships/ctrlProp" Target="../ctrlProps/ctrlProp334.xml"/><Relationship Id="rId49" Type="http://schemas.openxmlformats.org/officeDocument/2006/relationships/ctrlProp" Target="../ctrlProps/ctrlProp347.xml"/><Relationship Id="rId57" Type="http://schemas.openxmlformats.org/officeDocument/2006/relationships/ctrlProp" Target="../ctrlProps/ctrlProp355.xml"/><Relationship Id="rId10" Type="http://schemas.openxmlformats.org/officeDocument/2006/relationships/ctrlProp" Target="../ctrlProps/ctrlProp308.xml"/><Relationship Id="rId31" Type="http://schemas.openxmlformats.org/officeDocument/2006/relationships/ctrlProp" Target="../ctrlProps/ctrlProp329.xml"/><Relationship Id="rId44" Type="http://schemas.openxmlformats.org/officeDocument/2006/relationships/ctrlProp" Target="../ctrlProps/ctrlProp342.xml"/><Relationship Id="rId52" Type="http://schemas.openxmlformats.org/officeDocument/2006/relationships/ctrlProp" Target="../ctrlProps/ctrlProp350.xml"/><Relationship Id="rId60" Type="http://schemas.openxmlformats.org/officeDocument/2006/relationships/ctrlProp" Target="../ctrlProps/ctrlProp358.xml"/><Relationship Id="rId4" Type="http://schemas.openxmlformats.org/officeDocument/2006/relationships/ctrlProp" Target="../ctrlProps/ctrlProp302.xml"/><Relationship Id="rId9" Type="http://schemas.openxmlformats.org/officeDocument/2006/relationships/ctrlProp" Target="../ctrlProps/ctrlProp307.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369.xml"/><Relationship Id="rId18" Type="http://schemas.openxmlformats.org/officeDocument/2006/relationships/ctrlProp" Target="../ctrlProps/ctrlProp374.xml"/><Relationship Id="rId26" Type="http://schemas.openxmlformats.org/officeDocument/2006/relationships/ctrlProp" Target="../ctrlProps/ctrlProp382.xml"/><Relationship Id="rId39" Type="http://schemas.openxmlformats.org/officeDocument/2006/relationships/ctrlProp" Target="../ctrlProps/ctrlProp395.xml"/><Relationship Id="rId21" Type="http://schemas.openxmlformats.org/officeDocument/2006/relationships/ctrlProp" Target="../ctrlProps/ctrlProp377.xml"/><Relationship Id="rId34" Type="http://schemas.openxmlformats.org/officeDocument/2006/relationships/ctrlProp" Target="../ctrlProps/ctrlProp390.xml"/><Relationship Id="rId42" Type="http://schemas.openxmlformats.org/officeDocument/2006/relationships/ctrlProp" Target="../ctrlProps/ctrlProp398.xml"/><Relationship Id="rId47" Type="http://schemas.openxmlformats.org/officeDocument/2006/relationships/ctrlProp" Target="../ctrlProps/ctrlProp403.xml"/><Relationship Id="rId50" Type="http://schemas.openxmlformats.org/officeDocument/2006/relationships/ctrlProp" Target="../ctrlProps/ctrlProp406.xml"/><Relationship Id="rId55" Type="http://schemas.openxmlformats.org/officeDocument/2006/relationships/ctrlProp" Target="../ctrlProps/ctrlProp411.xml"/><Relationship Id="rId7" Type="http://schemas.openxmlformats.org/officeDocument/2006/relationships/ctrlProp" Target="../ctrlProps/ctrlProp363.xml"/><Relationship Id="rId2" Type="http://schemas.openxmlformats.org/officeDocument/2006/relationships/drawing" Target="../drawings/drawing21.xml"/><Relationship Id="rId16" Type="http://schemas.openxmlformats.org/officeDocument/2006/relationships/ctrlProp" Target="../ctrlProps/ctrlProp372.xml"/><Relationship Id="rId29" Type="http://schemas.openxmlformats.org/officeDocument/2006/relationships/ctrlProp" Target="../ctrlProps/ctrlProp385.xml"/><Relationship Id="rId11" Type="http://schemas.openxmlformats.org/officeDocument/2006/relationships/ctrlProp" Target="../ctrlProps/ctrlProp367.xml"/><Relationship Id="rId24" Type="http://schemas.openxmlformats.org/officeDocument/2006/relationships/ctrlProp" Target="../ctrlProps/ctrlProp380.xml"/><Relationship Id="rId32" Type="http://schemas.openxmlformats.org/officeDocument/2006/relationships/ctrlProp" Target="../ctrlProps/ctrlProp388.xml"/><Relationship Id="rId37" Type="http://schemas.openxmlformats.org/officeDocument/2006/relationships/ctrlProp" Target="../ctrlProps/ctrlProp393.xml"/><Relationship Id="rId40" Type="http://schemas.openxmlformats.org/officeDocument/2006/relationships/ctrlProp" Target="../ctrlProps/ctrlProp396.xml"/><Relationship Id="rId45" Type="http://schemas.openxmlformats.org/officeDocument/2006/relationships/ctrlProp" Target="../ctrlProps/ctrlProp401.xml"/><Relationship Id="rId53" Type="http://schemas.openxmlformats.org/officeDocument/2006/relationships/ctrlProp" Target="../ctrlProps/ctrlProp409.xml"/><Relationship Id="rId58" Type="http://schemas.openxmlformats.org/officeDocument/2006/relationships/ctrlProp" Target="../ctrlProps/ctrlProp414.xml"/><Relationship Id="rId5" Type="http://schemas.openxmlformats.org/officeDocument/2006/relationships/ctrlProp" Target="../ctrlProps/ctrlProp361.xml"/><Relationship Id="rId61" Type="http://schemas.openxmlformats.org/officeDocument/2006/relationships/ctrlProp" Target="../ctrlProps/ctrlProp417.xml"/><Relationship Id="rId19" Type="http://schemas.openxmlformats.org/officeDocument/2006/relationships/ctrlProp" Target="../ctrlProps/ctrlProp375.xml"/><Relationship Id="rId14" Type="http://schemas.openxmlformats.org/officeDocument/2006/relationships/ctrlProp" Target="../ctrlProps/ctrlProp370.xml"/><Relationship Id="rId22" Type="http://schemas.openxmlformats.org/officeDocument/2006/relationships/ctrlProp" Target="../ctrlProps/ctrlProp378.xml"/><Relationship Id="rId27" Type="http://schemas.openxmlformats.org/officeDocument/2006/relationships/ctrlProp" Target="../ctrlProps/ctrlProp383.xml"/><Relationship Id="rId30" Type="http://schemas.openxmlformats.org/officeDocument/2006/relationships/ctrlProp" Target="../ctrlProps/ctrlProp386.xml"/><Relationship Id="rId35" Type="http://schemas.openxmlformats.org/officeDocument/2006/relationships/ctrlProp" Target="../ctrlProps/ctrlProp391.xml"/><Relationship Id="rId43" Type="http://schemas.openxmlformats.org/officeDocument/2006/relationships/ctrlProp" Target="../ctrlProps/ctrlProp399.xml"/><Relationship Id="rId48" Type="http://schemas.openxmlformats.org/officeDocument/2006/relationships/ctrlProp" Target="../ctrlProps/ctrlProp404.xml"/><Relationship Id="rId56" Type="http://schemas.openxmlformats.org/officeDocument/2006/relationships/ctrlProp" Target="../ctrlProps/ctrlProp412.xml"/><Relationship Id="rId8" Type="http://schemas.openxmlformats.org/officeDocument/2006/relationships/ctrlProp" Target="../ctrlProps/ctrlProp364.xml"/><Relationship Id="rId51" Type="http://schemas.openxmlformats.org/officeDocument/2006/relationships/ctrlProp" Target="../ctrlProps/ctrlProp407.xml"/><Relationship Id="rId3" Type="http://schemas.openxmlformats.org/officeDocument/2006/relationships/vmlDrawing" Target="../drawings/vmlDrawing21.vml"/><Relationship Id="rId12" Type="http://schemas.openxmlformats.org/officeDocument/2006/relationships/ctrlProp" Target="../ctrlProps/ctrlProp368.xml"/><Relationship Id="rId17" Type="http://schemas.openxmlformats.org/officeDocument/2006/relationships/ctrlProp" Target="../ctrlProps/ctrlProp373.xml"/><Relationship Id="rId25" Type="http://schemas.openxmlformats.org/officeDocument/2006/relationships/ctrlProp" Target="../ctrlProps/ctrlProp381.xml"/><Relationship Id="rId33" Type="http://schemas.openxmlformats.org/officeDocument/2006/relationships/ctrlProp" Target="../ctrlProps/ctrlProp389.xml"/><Relationship Id="rId38" Type="http://schemas.openxmlformats.org/officeDocument/2006/relationships/ctrlProp" Target="../ctrlProps/ctrlProp394.xml"/><Relationship Id="rId46" Type="http://schemas.openxmlformats.org/officeDocument/2006/relationships/ctrlProp" Target="../ctrlProps/ctrlProp402.xml"/><Relationship Id="rId59" Type="http://schemas.openxmlformats.org/officeDocument/2006/relationships/ctrlProp" Target="../ctrlProps/ctrlProp415.xml"/><Relationship Id="rId20" Type="http://schemas.openxmlformats.org/officeDocument/2006/relationships/ctrlProp" Target="../ctrlProps/ctrlProp376.xml"/><Relationship Id="rId41" Type="http://schemas.openxmlformats.org/officeDocument/2006/relationships/ctrlProp" Target="../ctrlProps/ctrlProp397.xml"/><Relationship Id="rId54" Type="http://schemas.openxmlformats.org/officeDocument/2006/relationships/ctrlProp" Target="../ctrlProps/ctrlProp410.xml"/><Relationship Id="rId1" Type="http://schemas.openxmlformats.org/officeDocument/2006/relationships/printerSettings" Target="../printerSettings/printerSettings19.bin"/><Relationship Id="rId6" Type="http://schemas.openxmlformats.org/officeDocument/2006/relationships/ctrlProp" Target="../ctrlProps/ctrlProp362.xml"/><Relationship Id="rId15" Type="http://schemas.openxmlformats.org/officeDocument/2006/relationships/ctrlProp" Target="../ctrlProps/ctrlProp371.xml"/><Relationship Id="rId23" Type="http://schemas.openxmlformats.org/officeDocument/2006/relationships/ctrlProp" Target="../ctrlProps/ctrlProp379.xml"/><Relationship Id="rId28" Type="http://schemas.openxmlformats.org/officeDocument/2006/relationships/ctrlProp" Target="../ctrlProps/ctrlProp384.xml"/><Relationship Id="rId36" Type="http://schemas.openxmlformats.org/officeDocument/2006/relationships/ctrlProp" Target="../ctrlProps/ctrlProp392.xml"/><Relationship Id="rId49" Type="http://schemas.openxmlformats.org/officeDocument/2006/relationships/ctrlProp" Target="../ctrlProps/ctrlProp405.xml"/><Relationship Id="rId57" Type="http://schemas.openxmlformats.org/officeDocument/2006/relationships/ctrlProp" Target="../ctrlProps/ctrlProp413.xml"/><Relationship Id="rId10" Type="http://schemas.openxmlformats.org/officeDocument/2006/relationships/ctrlProp" Target="../ctrlProps/ctrlProp366.xml"/><Relationship Id="rId31" Type="http://schemas.openxmlformats.org/officeDocument/2006/relationships/ctrlProp" Target="../ctrlProps/ctrlProp387.xml"/><Relationship Id="rId44" Type="http://schemas.openxmlformats.org/officeDocument/2006/relationships/ctrlProp" Target="../ctrlProps/ctrlProp400.xml"/><Relationship Id="rId52" Type="http://schemas.openxmlformats.org/officeDocument/2006/relationships/ctrlProp" Target="../ctrlProps/ctrlProp408.xml"/><Relationship Id="rId60" Type="http://schemas.openxmlformats.org/officeDocument/2006/relationships/ctrlProp" Target="../ctrlProps/ctrlProp416.xml"/><Relationship Id="rId4" Type="http://schemas.openxmlformats.org/officeDocument/2006/relationships/ctrlProp" Target="../ctrlProps/ctrlProp360.xml"/><Relationship Id="rId9" Type="http://schemas.openxmlformats.org/officeDocument/2006/relationships/ctrlProp" Target="../ctrlProps/ctrlProp365.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427.xml"/><Relationship Id="rId18" Type="http://schemas.openxmlformats.org/officeDocument/2006/relationships/ctrlProp" Target="../ctrlProps/ctrlProp432.xml"/><Relationship Id="rId26" Type="http://schemas.openxmlformats.org/officeDocument/2006/relationships/ctrlProp" Target="../ctrlProps/ctrlProp440.xml"/><Relationship Id="rId39" Type="http://schemas.openxmlformats.org/officeDocument/2006/relationships/ctrlProp" Target="../ctrlProps/ctrlProp453.xml"/><Relationship Id="rId21" Type="http://schemas.openxmlformats.org/officeDocument/2006/relationships/ctrlProp" Target="../ctrlProps/ctrlProp435.xml"/><Relationship Id="rId34" Type="http://schemas.openxmlformats.org/officeDocument/2006/relationships/ctrlProp" Target="../ctrlProps/ctrlProp448.xml"/><Relationship Id="rId42" Type="http://schemas.openxmlformats.org/officeDocument/2006/relationships/ctrlProp" Target="../ctrlProps/ctrlProp456.xml"/><Relationship Id="rId47" Type="http://schemas.openxmlformats.org/officeDocument/2006/relationships/ctrlProp" Target="../ctrlProps/ctrlProp461.xml"/><Relationship Id="rId50" Type="http://schemas.openxmlformats.org/officeDocument/2006/relationships/ctrlProp" Target="../ctrlProps/ctrlProp464.xml"/><Relationship Id="rId55" Type="http://schemas.openxmlformats.org/officeDocument/2006/relationships/ctrlProp" Target="../ctrlProps/ctrlProp469.xml"/><Relationship Id="rId7" Type="http://schemas.openxmlformats.org/officeDocument/2006/relationships/ctrlProp" Target="../ctrlProps/ctrlProp421.xml"/><Relationship Id="rId2" Type="http://schemas.openxmlformats.org/officeDocument/2006/relationships/drawing" Target="../drawings/drawing22.xml"/><Relationship Id="rId16" Type="http://schemas.openxmlformats.org/officeDocument/2006/relationships/ctrlProp" Target="../ctrlProps/ctrlProp430.xml"/><Relationship Id="rId29" Type="http://schemas.openxmlformats.org/officeDocument/2006/relationships/ctrlProp" Target="../ctrlProps/ctrlProp443.xml"/><Relationship Id="rId11" Type="http://schemas.openxmlformats.org/officeDocument/2006/relationships/ctrlProp" Target="../ctrlProps/ctrlProp425.xml"/><Relationship Id="rId24" Type="http://schemas.openxmlformats.org/officeDocument/2006/relationships/ctrlProp" Target="../ctrlProps/ctrlProp438.xml"/><Relationship Id="rId32" Type="http://schemas.openxmlformats.org/officeDocument/2006/relationships/ctrlProp" Target="../ctrlProps/ctrlProp446.xml"/><Relationship Id="rId37" Type="http://schemas.openxmlformats.org/officeDocument/2006/relationships/ctrlProp" Target="../ctrlProps/ctrlProp451.xml"/><Relationship Id="rId40" Type="http://schemas.openxmlformats.org/officeDocument/2006/relationships/ctrlProp" Target="../ctrlProps/ctrlProp454.xml"/><Relationship Id="rId45" Type="http://schemas.openxmlformats.org/officeDocument/2006/relationships/ctrlProp" Target="../ctrlProps/ctrlProp459.xml"/><Relationship Id="rId53" Type="http://schemas.openxmlformats.org/officeDocument/2006/relationships/ctrlProp" Target="../ctrlProps/ctrlProp467.xml"/><Relationship Id="rId58" Type="http://schemas.openxmlformats.org/officeDocument/2006/relationships/ctrlProp" Target="../ctrlProps/ctrlProp472.xml"/><Relationship Id="rId5" Type="http://schemas.openxmlformats.org/officeDocument/2006/relationships/ctrlProp" Target="../ctrlProps/ctrlProp419.xml"/><Relationship Id="rId61" Type="http://schemas.openxmlformats.org/officeDocument/2006/relationships/ctrlProp" Target="../ctrlProps/ctrlProp475.xml"/><Relationship Id="rId19" Type="http://schemas.openxmlformats.org/officeDocument/2006/relationships/ctrlProp" Target="../ctrlProps/ctrlProp433.xml"/><Relationship Id="rId14" Type="http://schemas.openxmlformats.org/officeDocument/2006/relationships/ctrlProp" Target="../ctrlProps/ctrlProp428.xml"/><Relationship Id="rId22" Type="http://schemas.openxmlformats.org/officeDocument/2006/relationships/ctrlProp" Target="../ctrlProps/ctrlProp436.xml"/><Relationship Id="rId27" Type="http://schemas.openxmlformats.org/officeDocument/2006/relationships/ctrlProp" Target="../ctrlProps/ctrlProp441.xml"/><Relationship Id="rId30" Type="http://schemas.openxmlformats.org/officeDocument/2006/relationships/ctrlProp" Target="../ctrlProps/ctrlProp444.xml"/><Relationship Id="rId35" Type="http://schemas.openxmlformats.org/officeDocument/2006/relationships/ctrlProp" Target="../ctrlProps/ctrlProp449.xml"/><Relationship Id="rId43" Type="http://schemas.openxmlformats.org/officeDocument/2006/relationships/ctrlProp" Target="../ctrlProps/ctrlProp457.xml"/><Relationship Id="rId48" Type="http://schemas.openxmlformats.org/officeDocument/2006/relationships/ctrlProp" Target="../ctrlProps/ctrlProp462.xml"/><Relationship Id="rId56" Type="http://schemas.openxmlformats.org/officeDocument/2006/relationships/ctrlProp" Target="../ctrlProps/ctrlProp470.xml"/><Relationship Id="rId8" Type="http://schemas.openxmlformats.org/officeDocument/2006/relationships/ctrlProp" Target="../ctrlProps/ctrlProp422.xml"/><Relationship Id="rId51" Type="http://schemas.openxmlformats.org/officeDocument/2006/relationships/ctrlProp" Target="../ctrlProps/ctrlProp465.xml"/><Relationship Id="rId3" Type="http://schemas.openxmlformats.org/officeDocument/2006/relationships/vmlDrawing" Target="../drawings/vmlDrawing22.vml"/><Relationship Id="rId12" Type="http://schemas.openxmlformats.org/officeDocument/2006/relationships/ctrlProp" Target="../ctrlProps/ctrlProp426.xml"/><Relationship Id="rId17" Type="http://schemas.openxmlformats.org/officeDocument/2006/relationships/ctrlProp" Target="../ctrlProps/ctrlProp431.xml"/><Relationship Id="rId25" Type="http://schemas.openxmlformats.org/officeDocument/2006/relationships/ctrlProp" Target="../ctrlProps/ctrlProp439.xml"/><Relationship Id="rId33" Type="http://schemas.openxmlformats.org/officeDocument/2006/relationships/ctrlProp" Target="../ctrlProps/ctrlProp447.xml"/><Relationship Id="rId38" Type="http://schemas.openxmlformats.org/officeDocument/2006/relationships/ctrlProp" Target="../ctrlProps/ctrlProp452.xml"/><Relationship Id="rId46" Type="http://schemas.openxmlformats.org/officeDocument/2006/relationships/ctrlProp" Target="../ctrlProps/ctrlProp460.xml"/><Relationship Id="rId59" Type="http://schemas.openxmlformats.org/officeDocument/2006/relationships/ctrlProp" Target="../ctrlProps/ctrlProp473.xml"/><Relationship Id="rId20" Type="http://schemas.openxmlformats.org/officeDocument/2006/relationships/ctrlProp" Target="../ctrlProps/ctrlProp434.xml"/><Relationship Id="rId41" Type="http://schemas.openxmlformats.org/officeDocument/2006/relationships/ctrlProp" Target="../ctrlProps/ctrlProp455.xml"/><Relationship Id="rId54" Type="http://schemas.openxmlformats.org/officeDocument/2006/relationships/ctrlProp" Target="../ctrlProps/ctrlProp468.xml"/><Relationship Id="rId1" Type="http://schemas.openxmlformats.org/officeDocument/2006/relationships/printerSettings" Target="../printerSettings/printerSettings20.bin"/><Relationship Id="rId6" Type="http://schemas.openxmlformats.org/officeDocument/2006/relationships/ctrlProp" Target="../ctrlProps/ctrlProp420.xml"/><Relationship Id="rId15" Type="http://schemas.openxmlformats.org/officeDocument/2006/relationships/ctrlProp" Target="../ctrlProps/ctrlProp429.xml"/><Relationship Id="rId23" Type="http://schemas.openxmlformats.org/officeDocument/2006/relationships/ctrlProp" Target="../ctrlProps/ctrlProp437.xml"/><Relationship Id="rId28" Type="http://schemas.openxmlformats.org/officeDocument/2006/relationships/ctrlProp" Target="../ctrlProps/ctrlProp442.xml"/><Relationship Id="rId36" Type="http://schemas.openxmlformats.org/officeDocument/2006/relationships/ctrlProp" Target="../ctrlProps/ctrlProp450.xml"/><Relationship Id="rId49" Type="http://schemas.openxmlformats.org/officeDocument/2006/relationships/ctrlProp" Target="../ctrlProps/ctrlProp463.xml"/><Relationship Id="rId57" Type="http://schemas.openxmlformats.org/officeDocument/2006/relationships/ctrlProp" Target="../ctrlProps/ctrlProp471.xml"/><Relationship Id="rId10" Type="http://schemas.openxmlformats.org/officeDocument/2006/relationships/ctrlProp" Target="../ctrlProps/ctrlProp424.xml"/><Relationship Id="rId31" Type="http://schemas.openxmlformats.org/officeDocument/2006/relationships/ctrlProp" Target="../ctrlProps/ctrlProp445.xml"/><Relationship Id="rId44" Type="http://schemas.openxmlformats.org/officeDocument/2006/relationships/ctrlProp" Target="../ctrlProps/ctrlProp458.xml"/><Relationship Id="rId52" Type="http://schemas.openxmlformats.org/officeDocument/2006/relationships/ctrlProp" Target="../ctrlProps/ctrlProp466.xml"/><Relationship Id="rId60" Type="http://schemas.openxmlformats.org/officeDocument/2006/relationships/ctrlProp" Target="../ctrlProps/ctrlProp474.xml"/><Relationship Id="rId4" Type="http://schemas.openxmlformats.org/officeDocument/2006/relationships/ctrlProp" Target="../ctrlProps/ctrlProp418.xml"/><Relationship Id="rId9" Type="http://schemas.openxmlformats.org/officeDocument/2006/relationships/ctrlProp" Target="../ctrlProps/ctrlProp423.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485.xml"/><Relationship Id="rId18" Type="http://schemas.openxmlformats.org/officeDocument/2006/relationships/ctrlProp" Target="../ctrlProps/ctrlProp490.xml"/><Relationship Id="rId26" Type="http://schemas.openxmlformats.org/officeDocument/2006/relationships/ctrlProp" Target="../ctrlProps/ctrlProp498.xml"/><Relationship Id="rId39" Type="http://schemas.openxmlformats.org/officeDocument/2006/relationships/ctrlProp" Target="../ctrlProps/ctrlProp511.xml"/><Relationship Id="rId21" Type="http://schemas.openxmlformats.org/officeDocument/2006/relationships/ctrlProp" Target="../ctrlProps/ctrlProp493.xml"/><Relationship Id="rId34" Type="http://schemas.openxmlformats.org/officeDocument/2006/relationships/ctrlProp" Target="../ctrlProps/ctrlProp506.xml"/><Relationship Id="rId42" Type="http://schemas.openxmlformats.org/officeDocument/2006/relationships/ctrlProp" Target="../ctrlProps/ctrlProp514.xml"/><Relationship Id="rId47" Type="http://schemas.openxmlformats.org/officeDocument/2006/relationships/ctrlProp" Target="../ctrlProps/ctrlProp519.xml"/><Relationship Id="rId50" Type="http://schemas.openxmlformats.org/officeDocument/2006/relationships/ctrlProp" Target="../ctrlProps/ctrlProp522.xml"/><Relationship Id="rId55" Type="http://schemas.openxmlformats.org/officeDocument/2006/relationships/ctrlProp" Target="../ctrlProps/ctrlProp527.xml"/><Relationship Id="rId7" Type="http://schemas.openxmlformats.org/officeDocument/2006/relationships/ctrlProp" Target="../ctrlProps/ctrlProp479.xml"/><Relationship Id="rId2" Type="http://schemas.openxmlformats.org/officeDocument/2006/relationships/drawing" Target="../drawings/drawing23.xml"/><Relationship Id="rId16" Type="http://schemas.openxmlformats.org/officeDocument/2006/relationships/ctrlProp" Target="../ctrlProps/ctrlProp488.xml"/><Relationship Id="rId29" Type="http://schemas.openxmlformats.org/officeDocument/2006/relationships/ctrlProp" Target="../ctrlProps/ctrlProp501.xml"/><Relationship Id="rId11" Type="http://schemas.openxmlformats.org/officeDocument/2006/relationships/ctrlProp" Target="../ctrlProps/ctrlProp483.xml"/><Relationship Id="rId24" Type="http://schemas.openxmlformats.org/officeDocument/2006/relationships/ctrlProp" Target="../ctrlProps/ctrlProp496.xml"/><Relationship Id="rId32" Type="http://schemas.openxmlformats.org/officeDocument/2006/relationships/ctrlProp" Target="../ctrlProps/ctrlProp504.xml"/><Relationship Id="rId37" Type="http://schemas.openxmlformats.org/officeDocument/2006/relationships/ctrlProp" Target="../ctrlProps/ctrlProp509.xml"/><Relationship Id="rId40" Type="http://schemas.openxmlformats.org/officeDocument/2006/relationships/ctrlProp" Target="../ctrlProps/ctrlProp512.xml"/><Relationship Id="rId45" Type="http://schemas.openxmlformats.org/officeDocument/2006/relationships/ctrlProp" Target="../ctrlProps/ctrlProp517.xml"/><Relationship Id="rId53" Type="http://schemas.openxmlformats.org/officeDocument/2006/relationships/ctrlProp" Target="../ctrlProps/ctrlProp525.xml"/><Relationship Id="rId58" Type="http://schemas.openxmlformats.org/officeDocument/2006/relationships/ctrlProp" Target="../ctrlProps/ctrlProp530.xml"/><Relationship Id="rId5" Type="http://schemas.openxmlformats.org/officeDocument/2006/relationships/ctrlProp" Target="../ctrlProps/ctrlProp477.xml"/><Relationship Id="rId61" Type="http://schemas.openxmlformats.org/officeDocument/2006/relationships/ctrlProp" Target="../ctrlProps/ctrlProp533.xml"/><Relationship Id="rId19" Type="http://schemas.openxmlformats.org/officeDocument/2006/relationships/ctrlProp" Target="../ctrlProps/ctrlProp491.xml"/><Relationship Id="rId14" Type="http://schemas.openxmlformats.org/officeDocument/2006/relationships/ctrlProp" Target="../ctrlProps/ctrlProp486.xml"/><Relationship Id="rId22" Type="http://schemas.openxmlformats.org/officeDocument/2006/relationships/ctrlProp" Target="../ctrlProps/ctrlProp494.xml"/><Relationship Id="rId27" Type="http://schemas.openxmlformats.org/officeDocument/2006/relationships/ctrlProp" Target="../ctrlProps/ctrlProp499.xml"/><Relationship Id="rId30" Type="http://schemas.openxmlformats.org/officeDocument/2006/relationships/ctrlProp" Target="../ctrlProps/ctrlProp502.xml"/><Relationship Id="rId35" Type="http://schemas.openxmlformats.org/officeDocument/2006/relationships/ctrlProp" Target="../ctrlProps/ctrlProp507.xml"/><Relationship Id="rId43" Type="http://schemas.openxmlformats.org/officeDocument/2006/relationships/ctrlProp" Target="../ctrlProps/ctrlProp515.xml"/><Relationship Id="rId48" Type="http://schemas.openxmlformats.org/officeDocument/2006/relationships/ctrlProp" Target="../ctrlProps/ctrlProp520.xml"/><Relationship Id="rId56" Type="http://schemas.openxmlformats.org/officeDocument/2006/relationships/ctrlProp" Target="../ctrlProps/ctrlProp528.xml"/><Relationship Id="rId8" Type="http://schemas.openxmlformats.org/officeDocument/2006/relationships/ctrlProp" Target="../ctrlProps/ctrlProp480.xml"/><Relationship Id="rId51" Type="http://schemas.openxmlformats.org/officeDocument/2006/relationships/ctrlProp" Target="../ctrlProps/ctrlProp523.xml"/><Relationship Id="rId3" Type="http://schemas.openxmlformats.org/officeDocument/2006/relationships/vmlDrawing" Target="../drawings/vmlDrawing23.vml"/><Relationship Id="rId12" Type="http://schemas.openxmlformats.org/officeDocument/2006/relationships/ctrlProp" Target="../ctrlProps/ctrlProp484.xml"/><Relationship Id="rId17" Type="http://schemas.openxmlformats.org/officeDocument/2006/relationships/ctrlProp" Target="../ctrlProps/ctrlProp489.xml"/><Relationship Id="rId25" Type="http://schemas.openxmlformats.org/officeDocument/2006/relationships/ctrlProp" Target="../ctrlProps/ctrlProp497.xml"/><Relationship Id="rId33" Type="http://schemas.openxmlformats.org/officeDocument/2006/relationships/ctrlProp" Target="../ctrlProps/ctrlProp505.xml"/><Relationship Id="rId38" Type="http://schemas.openxmlformats.org/officeDocument/2006/relationships/ctrlProp" Target="../ctrlProps/ctrlProp510.xml"/><Relationship Id="rId46" Type="http://schemas.openxmlformats.org/officeDocument/2006/relationships/ctrlProp" Target="../ctrlProps/ctrlProp518.xml"/><Relationship Id="rId59" Type="http://schemas.openxmlformats.org/officeDocument/2006/relationships/ctrlProp" Target="../ctrlProps/ctrlProp531.xml"/><Relationship Id="rId20" Type="http://schemas.openxmlformats.org/officeDocument/2006/relationships/ctrlProp" Target="../ctrlProps/ctrlProp492.xml"/><Relationship Id="rId41" Type="http://schemas.openxmlformats.org/officeDocument/2006/relationships/ctrlProp" Target="../ctrlProps/ctrlProp513.xml"/><Relationship Id="rId54" Type="http://schemas.openxmlformats.org/officeDocument/2006/relationships/ctrlProp" Target="../ctrlProps/ctrlProp526.xml"/><Relationship Id="rId1" Type="http://schemas.openxmlformats.org/officeDocument/2006/relationships/printerSettings" Target="../printerSettings/printerSettings21.bin"/><Relationship Id="rId6" Type="http://schemas.openxmlformats.org/officeDocument/2006/relationships/ctrlProp" Target="../ctrlProps/ctrlProp478.xml"/><Relationship Id="rId15" Type="http://schemas.openxmlformats.org/officeDocument/2006/relationships/ctrlProp" Target="../ctrlProps/ctrlProp487.xml"/><Relationship Id="rId23" Type="http://schemas.openxmlformats.org/officeDocument/2006/relationships/ctrlProp" Target="../ctrlProps/ctrlProp495.xml"/><Relationship Id="rId28" Type="http://schemas.openxmlformats.org/officeDocument/2006/relationships/ctrlProp" Target="../ctrlProps/ctrlProp500.xml"/><Relationship Id="rId36" Type="http://schemas.openxmlformats.org/officeDocument/2006/relationships/ctrlProp" Target="../ctrlProps/ctrlProp508.xml"/><Relationship Id="rId49" Type="http://schemas.openxmlformats.org/officeDocument/2006/relationships/ctrlProp" Target="../ctrlProps/ctrlProp521.xml"/><Relationship Id="rId57" Type="http://schemas.openxmlformats.org/officeDocument/2006/relationships/ctrlProp" Target="../ctrlProps/ctrlProp529.xml"/><Relationship Id="rId10" Type="http://schemas.openxmlformats.org/officeDocument/2006/relationships/ctrlProp" Target="../ctrlProps/ctrlProp482.xml"/><Relationship Id="rId31" Type="http://schemas.openxmlformats.org/officeDocument/2006/relationships/ctrlProp" Target="../ctrlProps/ctrlProp503.xml"/><Relationship Id="rId44" Type="http://schemas.openxmlformats.org/officeDocument/2006/relationships/ctrlProp" Target="../ctrlProps/ctrlProp516.xml"/><Relationship Id="rId52" Type="http://schemas.openxmlformats.org/officeDocument/2006/relationships/ctrlProp" Target="../ctrlProps/ctrlProp524.xml"/><Relationship Id="rId60" Type="http://schemas.openxmlformats.org/officeDocument/2006/relationships/ctrlProp" Target="../ctrlProps/ctrlProp532.xml"/><Relationship Id="rId4" Type="http://schemas.openxmlformats.org/officeDocument/2006/relationships/ctrlProp" Target="../ctrlProps/ctrlProp476.xml"/><Relationship Id="rId9" Type="http://schemas.openxmlformats.org/officeDocument/2006/relationships/ctrlProp" Target="../ctrlProps/ctrlProp48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2.bin"/><Relationship Id="rId5" Type="http://schemas.openxmlformats.org/officeDocument/2006/relationships/ctrlProp" Target="../ctrlProps/ctrlProp535.xml"/><Relationship Id="rId4" Type="http://schemas.openxmlformats.org/officeDocument/2006/relationships/ctrlProp" Target="../ctrlProps/ctrlProp53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7" Type="http://schemas.openxmlformats.org/officeDocument/2006/relationships/ctrlProp" Target="../ctrlProps/ctrlProp539.xml"/><Relationship Id="rId2" Type="http://schemas.openxmlformats.org/officeDocument/2006/relationships/drawing" Target="../drawings/drawing25.xml"/><Relationship Id="rId1" Type="http://schemas.openxmlformats.org/officeDocument/2006/relationships/printerSettings" Target="../printerSettings/printerSettings23.bin"/><Relationship Id="rId6" Type="http://schemas.openxmlformats.org/officeDocument/2006/relationships/ctrlProp" Target="../ctrlProps/ctrlProp538.xml"/><Relationship Id="rId5" Type="http://schemas.openxmlformats.org/officeDocument/2006/relationships/ctrlProp" Target="../ctrlProps/ctrlProp537.xml"/><Relationship Id="rId4" Type="http://schemas.openxmlformats.org/officeDocument/2006/relationships/ctrlProp" Target="../ctrlProps/ctrlProp53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4.bin"/><Relationship Id="rId6" Type="http://schemas.openxmlformats.org/officeDocument/2006/relationships/ctrlProp" Target="../ctrlProps/ctrlProp542.xml"/><Relationship Id="rId5" Type="http://schemas.openxmlformats.org/officeDocument/2006/relationships/ctrlProp" Target="../ctrlProps/ctrlProp541.xml"/><Relationship Id="rId4" Type="http://schemas.openxmlformats.org/officeDocument/2006/relationships/ctrlProp" Target="../ctrlProps/ctrlProp540.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47.xml"/><Relationship Id="rId3" Type="http://schemas.openxmlformats.org/officeDocument/2006/relationships/vmlDrawing" Target="../drawings/vmlDrawing27.vml"/><Relationship Id="rId7" Type="http://schemas.openxmlformats.org/officeDocument/2006/relationships/ctrlProp" Target="../ctrlProps/ctrlProp546.xml"/><Relationship Id="rId2" Type="http://schemas.openxmlformats.org/officeDocument/2006/relationships/drawing" Target="../drawings/drawing27.xml"/><Relationship Id="rId1" Type="http://schemas.openxmlformats.org/officeDocument/2006/relationships/printerSettings" Target="../printerSettings/printerSettings25.bin"/><Relationship Id="rId6" Type="http://schemas.openxmlformats.org/officeDocument/2006/relationships/ctrlProp" Target="../ctrlProps/ctrlProp545.xml"/><Relationship Id="rId5" Type="http://schemas.openxmlformats.org/officeDocument/2006/relationships/ctrlProp" Target="../ctrlProps/ctrlProp544.xml"/><Relationship Id="rId4" Type="http://schemas.openxmlformats.org/officeDocument/2006/relationships/ctrlProp" Target="../ctrlProps/ctrlProp543.xml"/><Relationship Id="rId9" Type="http://schemas.openxmlformats.org/officeDocument/2006/relationships/ctrlProp" Target="../ctrlProps/ctrlProp548.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53.xml"/><Relationship Id="rId3" Type="http://schemas.openxmlformats.org/officeDocument/2006/relationships/vmlDrawing" Target="../drawings/vmlDrawing28.vml"/><Relationship Id="rId7" Type="http://schemas.openxmlformats.org/officeDocument/2006/relationships/ctrlProp" Target="../ctrlProps/ctrlProp552.xml"/><Relationship Id="rId2" Type="http://schemas.openxmlformats.org/officeDocument/2006/relationships/drawing" Target="../drawings/drawing28.xml"/><Relationship Id="rId1" Type="http://schemas.openxmlformats.org/officeDocument/2006/relationships/printerSettings" Target="../printerSettings/printerSettings26.bin"/><Relationship Id="rId6" Type="http://schemas.openxmlformats.org/officeDocument/2006/relationships/ctrlProp" Target="../ctrlProps/ctrlProp551.xml"/><Relationship Id="rId5" Type="http://schemas.openxmlformats.org/officeDocument/2006/relationships/ctrlProp" Target="../ctrlProps/ctrlProp550.xml"/><Relationship Id="rId4" Type="http://schemas.openxmlformats.org/officeDocument/2006/relationships/ctrlProp" Target="../ctrlProps/ctrlProp549.xml"/><Relationship Id="rId9" Type="http://schemas.openxmlformats.org/officeDocument/2006/relationships/ctrlProp" Target="../ctrlProps/ctrlProp55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564.xml"/><Relationship Id="rId18" Type="http://schemas.openxmlformats.org/officeDocument/2006/relationships/ctrlProp" Target="../ctrlProps/ctrlProp569.xml"/><Relationship Id="rId26" Type="http://schemas.openxmlformats.org/officeDocument/2006/relationships/ctrlProp" Target="../ctrlProps/ctrlProp577.xml"/><Relationship Id="rId39" Type="http://schemas.openxmlformats.org/officeDocument/2006/relationships/ctrlProp" Target="../ctrlProps/ctrlProp590.xml"/><Relationship Id="rId21" Type="http://schemas.openxmlformats.org/officeDocument/2006/relationships/ctrlProp" Target="../ctrlProps/ctrlProp572.xml"/><Relationship Id="rId34" Type="http://schemas.openxmlformats.org/officeDocument/2006/relationships/ctrlProp" Target="../ctrlProps/ctrlProp585.xml"/><Relationship Id="rId42" Type="http://schemas.openxmlformats.org/officeDocument/2006/relationships/ctrlProp" Target="../ctrlProps/ctrlProp593.xml"/><Relationship Id="rId47" Type="http://schemas.openxmlformats.org/officeDocument/2006/relationships/ctrlProp" Target="../ctrlProps/ctrlProp598.xml"/><Relationship Id="rId50" Type="http://schemas.openxmlformats.org/officeDocument/2006/relationships/ctrlProp" Target="../ctrlProps/ctrlProp601.xml"/><Relationship Id="rId55" Type="http://schemas.openxmlformats.org/officeDocument/2006/relationships/ctrlProp" Target="../ctrlProps/ctrlProp606.xml"/><Relationship Id="rId7" Type="http://schemas.openxmlformats.org/officeDocument/2006/relationships/ctrlProp" Target="../ctrlProps/ctrlProp558.xml"/><Relationship Id="rId2" Type="http://schemas.openxmlformats.org/officeDocument/2006/relationships/drawing" Target="../drawings/drawing29.xml"/><Relationship Id="rId16" Type="http://schemas.openxmlformats.org/officeDocument/2006/relationships/ctrlProp" Target="../ctrlProps/ctrlProp567.xml"/><Relationship Id="rId29" Type="http://schemas.openxmlformats.org/officeDocument/2006/relationships/ctrlProp" Target="../ctrlProps/ctrlProp580.xml"/><Relationship Id="rId11" Type="http://schemas.openxmlformats.org/officeDocument/2006/relationships/ctrlProp" Target="../ctrlProps/ctrlProp562.xml"/><Relationship Id="rId24" Type="http://schemas.openxmlformats.org/officeDocument/2006/relationships/ctrlProp" Target="../ctrlProps/ctrlProp575.xml"/><Relationship Id="rId32" Type="http://schemas.openxmlformats.org/officeDocument/2006/relationships/ctrlProp" Target="../ctrlProps/ctrlProp583.xml"/><Relationship Id="rId37" Type="http://schemas.openxmlformats.org/officeDocument/2006/relationships/ctrlProp" Target="../ctrlProps/ctrlProp588.xml"/><Relationship Id="rId40" Type="http://schemas.openxmlformats.org/officeDocument/2006/relationships/ctrlProp" Target="../ctrlProps/ctrlProp591.xml"/><Relationship Id="rId45" Type="http://schemas.openxmlformats.org/officeDocument/2006/relationships/ctrlProp" Target="../ctrlProps/ctrlProp596.xml"/><Relationship Id="rId53" Type="http://schemas.openxmlformats.org/officeDocument/2006/relationships/ctrlProp" Target="../ctrlProps/ctrlProp604.xml"/><Relationship Id="rId58" Type="http://schemas.openxmlformats.org/officeDocument/2006/relationships/ctrlProp" Target="../ctrlProps/ctrlProp609.xml"/><Relationship Id="rId5" Type="http://schemas.openxmlformats.org/officeDocument/2006/relationships/ctrlProp" Target="../ctrlProps/ctrlProp556.xml"/><Relationship Id="rId61" Type="http://schemas.openxmlformats.org/officeDocument/2006/relationships/ctrlProp" Target="../ctrlProps/ctrlProp612.xml"/><Relationship Id="rId19" Type="http://schemas.openxmlformats.org/officeDocument/2006/relationships/ctrlProp" Target="../ctrlProps/ctrlProp570.xml"/><Relationship Id="rId14" Type="http://schemas.openxmlformats.org/officeDocument/2006/relationships/ctrlProp" Target="../ctrlProps/ctrlProp565.xml"/><Relationship Id="rId22" Type="http://schemas.openxmlformats.org/officeDocument/2006/relationships/ctrlProp" Target="../ctrlProps/ctrlProp573.xml"/><Relationship Id="rId27" Type="http://schemas.openxmlformats.org/officeDocument/2006/relationships/ctrlProp" Target="../ctrlProps/ctrlProp578.xml"/><Relationship Id="rId30" Type="http://schemas.openxmlformats.org/officeDocument/2006/relationships/ctrlProp" Target="../ctrlProps/ctrlProp581.xml"/><Relationship Id="rId35" Type="http://schemas.openxmlformats.org/officeDocument/2006/relationships/ctrlProp" Target="../ctrlProps/ctrlProp586.xml"/><Relationship Id="rId43" Type="http://schemas.openxmlformats.org/officeDocument/2006/relationships/ctrlProp" Target="../ctrlProps/ctrlProp594.xml"/><Relationship Id="rId48" Type="http://schemas.openxmlformats.org/officeDocument/2006/relationships/ctrlProp" Target="../ctrlProps/ctrlProp599.xml"/><Relationship Id="rId56" Type="http://schemas.openxmlformats.org/officeDocument/2006/relationships/ctrlProp" Target="../ctrlProps/ctrlProp607.xml"/><Relationship Id="rId8" Type="http://schemas.openxmlformats.org/officeDocument/2006/relationships/ctrlProp" Target="../ctrlProps/ctrlProp559.xml"/><Relationship Id="rId51" Type="http://schemas.openxmlformats.org/officeDocument/2006/relationships/ctrlProp" Target="../ctrlProps/ctrlProp602.xml"/><Relationship Id="rId3" Type="http://schemas.openxmlformats.org/officeDocument/2006/relationships/vmlDrawing" Target="../drawings/vmlDrawing29.vml"/><Relationship Id="rId12" Type="http://schemas.openxmlformats.org/officeDocument/2006/relationships/ctrlProp" Target="../ctrlProps/ctrlProp563.xml"/><Relationship Id="rId17" Type="http://schemas.openxmlformats.org/officeDocument/2006/relationships/ctrlProp" Target="../ctrlProps/ctrlProp568.xml"/><Relationship Id="rId25" Type="http://schemas.openxmlformats.org/officeDocument/2006/relationships/ctrlProp" Target="../ctrlProps/ctrlProp576.xml"/><Relationship Id="rId33" Type="http://schemas.openxmlformats.org/officeDocument/2006/relationships/ctrlProp" Target="../ctrlProps/ctrlProp584.xml"/><Relationship Id="rId38" Type="http://schemas.openxmlformats.org/officeDocument/2006/relationships/ctrlProp" Target="../ctrlProps/ctrlProp589.xml"/><Relationship Id="rId46" Type="http://schemas.openxmlformats.org/officeDocument/2006/relationships/ctrlProp" Target="../ctrlProps/ctrlProp597.xml"/><Relationship Id="rId59" Type="http://schemas.openxmlformats.org/officeDocument/2006/relationships/ctrlProp" Target="../ctrlProps/ctrlProp610.xml"/><Relationship Id="rId20" Type="http://schemas.openxmlformats.org/officeDocument/2006/relationships/ctrlProp" Target="../ctrlProps/ctrlProp571.xml"/><Relationship Id="rId41" Type="http://schemas.openxmlformats.org/officeDocument/2006/relationships/ctrlProp" Target="../ctrlProps/ctrlProp592.xml"/><Relationship Id="rId54" Type="http://schemas.openxmlformats.org/officeDocument/2006/relationships/ctrlProp" Target="../ctrlProps/ctrlProp605.xml"/><Relationship Id="rId1" Type="http://schemas.openxmlformats.org/officeDocument/2006/relationships/printerSettings" Target="../printerSettings/printerSettings27.bin"/><Relationship Id="rId6" Type="http://schemas.openxmlformats.org/officeDocument/2006/relationships/ctrlProp" Target="../ctrlProps/ctrlProp557.xml"/><Relationship Id="rId15" Type="http://schemas.openxmlformats.org/officeDocument/2006/relationships/ctrlProp" Target="../ctrlProps/ctrlProp566.xml"/><Relationship Id="rId23" Type="http://schemas.openxmlformats.org/officeDocument/2006/relationships/ctrlProp" Target="../ctrlProps/ctrlProp574.xml"/><Relationship Id="rId28" Type="http://schemas.openxmlformats.org/officeDocument/2006/relationships/ctrlProp" Target="../ctrlProps/ctrlProp579.xml"/><Relationship Id="rId36" Type="http://schemas.openxmlformats.org/officeDocument/2006/relationships/ctrlProp" Target="../ctrlProps/ctrlProp587.xml"/><Relationship Id="rId49" Type="http://schemas.openxmlformats.org/officeDocument/2006/relationships/ctrlProp" Target="../ctrlProps/ctrlProp600.xml"/><Relationship Id="rId57" Type="http://schemas.openxmlformats.org/officeDocument/2006/relationships/ctrlProp" Target="../ctrlProps/ctrlProp608.xml"/><Relationship Id="rId10" Type="http://schemas.openxmlformats.org/officeDocument/2006/relationships/ctrlProp" Target="../ctrlProps/ctrlProp561.xml"/><Relationship Id="rId31" Type="http://schemas.openxmlformats.org/officeDocument/2006/relationships/ctrlProp" Target="../ctrlProps/ctrlProp582.xml"/><Relationship Id="rId44" Type="http://schemas.openxmlformats.org/officeDocument/2006/relationships/ctrlProp" Target="../ctrlProps/ctrlProp595.xml"/><Relationship Id="rId52" Type="http://schemas.openxmlformats.org/officeDocument/2006/relationships/ctrlProp" Target="../ctrlProps/ctrlProp603.xml"/><Relationship Id="rId60" Type="http://schemas.openxmlformats.org/officeDocument/2006/relationships/ctrlProp" Target="../ctrlProps/ctrlProp611.xml"/><Relationship Id="rId4" Type="http://schemas.openxmlformats.org/officeDocument/2006/relationships/ctrlProp" Target="../ctrlProps/ctrlProp555.xml"/><Relationship Id="rId9" Type="http://schemas.openxmlformats.org/officeDocument/2006/relationships/ctrlProp" Target="../ctrlProps/ctrlProp560.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622.xml"/><Relationship Id="rId18" Type="http://schemas.openxmlformats.org/officeDocument/2006/relationships/ctrlProp" Target="../ctrlProps/ctrlProp627.xml"/><Relationship Id="rId26" Type="http://schemas.openxmlformats.org/officeDocument/2006/relationships/ctrlProp" Target="../ctrlProps/ctrlProp635.xml"/><Relationship Id="rId39" Type="http://schemas.openxmlformats.org/officeDocument/2006/relationships/ctrlProp" Target="../ctrlProps/ctrlProp648.xml"/><Relationship Id="rId21" Type="http://schemas.openxmlformats.org/officeDocument/2006/relationships/ctrlProp" Target="../ctrlProps/ctrlProp630.xml"/><Relationship Id="rId34" Type="http://schemas.openxmlformats.org/officeDocument/2006/relationships/ctrlProp" Target="../ctrlProps/ctrlProp643.xml"/><Relationship Id="rId42" Type="http://schemas.openxmlformats.org/officeDocument/2006/relationships/ctrlProp" Target="../ctrlProps/ctrlProp651.xml"/><Relationship Id="rId47" Type="http://schemas.openxmlformats.org/officeDocument/2006/relationships/ctrlProp" Target="../ctrlProps/ctrlProp656.xml"/><Relationship Id="rId50" Type="http://schemas.openxmlformats.org/officeDocument/2006/relationships/ctrlProp" Target="../ctrlProps/ctrlProp659.xml"/><Relationship Id="rId55" Type="http://schemas.openxmlformats.org/officeDocument/2006/relationships/ctrlProp" Target="../ctrlProps/ctrlProp664.xml"/><Relationship Id="rId7" Type="http://schemas.openxmlformats.org/officeDocument/2006/relationships/ctrlProp" Target="../ctrlProps/ctrlProp616.xml"/><Relationship Id="rId2" Type="http://schemas.openxmlformats.org/officeDocument/2006/relationships/drawing" Target="../drawings/drawing30.xml"/><Relationship Id="rId16" Type="http://schemas.openxmlformats.org/officeDocument/2006/relationships/ctrlProp" Target="../ctrlProps/ctrlProp625.xml"/><Relationship Id="rId29" Type="http://schemas.openxmlformats.org/officeDocument/2006/relationships/ctrlProp" Target="../ctrlProps/ctrlProp638.xml"/><Relationship Id="rId11" Type="http://schemas.openxmlformats.org/officeDocument/2006/relationships/ctrlProp" Target="../ctrlProps/ctrlProp620.xml"/><Relationship Id="rId24" Type="http://schemas.openxmlformats.org/officeDocument/2006/relationships/ctrlProp" Target="../ctrlProps/ctrlProp633.xml"/><Relationship Id="rId32" Type="http://schemas.openxmlformats.org/officeDocument/2006/relationships/ctrlProp" Target="../ctrlProps/ctrlProp641.xml"/><Relationship Id="rId37" Type="http://schemas.openxmlformats.org/officeDocument/2006/relationships/ctrlProp" Target="../ctrlProps/ctrlProp646.xml"/><Relationship Id="rId40" Type="http://schemas.openxmlformats.org/officeDocument/2006/relationships/ctrlProp" Target="../ctrlProps/ctrlProp649.xml"/><Relationship Id="rId45" Type="http://schemas.openxmlformats.org/officeDocument/2006/relationships/ctrlProp" Target="../ctrlProps/ctrlProp654.xml"/><Relationship Id="rId53" Type="http://schemas.openxmlformats.org/officeDocument/2006/relationships/ctrlProp" Target="../ctrlProps/ctrlProp662.xml"/><Relationship Id="rId58" Type="http://schemas.openxmlformats.org/officeDocument/2006/relationships/ctrlProp" Target="../ctrlProps/ctrlProp667.xml"/><Relationship Id="rId5" Type="http://schemas.openxmlformats.org/officeDocument/2006/relationships/ctrlProp" Target="../ctrlProps/ctrlProp614.xml"/><Relationship Id="rId61" Type="http://schemas.openxmlformats.org/officeDocument/2006/relationships/ctrlProp" Target="../ctrlProps/ctrlProp670.xml"/><Relationship Id="rId19" Type="http://schemas.openxmlformats.org/officeDocument/2006/relationships/ctrlProp" Target="../ctrlProps/ctrlProp628.xml"/><Relationship Id="rId14" Type="http://schemas.openxmlformats.org/officeDocument/2006/relationships/ctrlProp" Target="../ctrlProps/ctrlProp623.xml"/><Relationship Id="rId22" Type="http://schemas.openxmlformats.org/officeDocument/2006/relationships/ctrlProp" Target="../ctrlProps/ctrlProp631.xml"/><Relationship Id="rId27" Type="http://schemas.openxmlformats.org/officeDocument/2006/relationships/ctrlProp" Target="../ctrlProps/ctrlProp636.xml"/><Relationship Id="rId30" Type="http://schemas.openxmlformats.org/officeDocument/2006/relationships/ctrlProp" Target="../ctrlProps/ctrlProp639.xml"/><Relationship Id="rId35" Type="http://schemas.openxmlformats.org/officeDocument/2006/relationships/ctrlProp" Target="../ctrlProps/ctrlProp644.xml"/><Relationship Id="rId43" Type="http://schemas.openxmlformats.org/officeDocument/2006/relationships/ctrlProp" Target="../ctrlProps/ctrlProp652.xml"/><Relationship Id="rId48" Type="http://schemas.openxmlformats.org/officeDocument/2006/relationships/ctrlProp" Target="../ctrlProps/ctrlProp657.xml"/><Relationship Id="rId56" Type="http://schemas.openxmlformats.org/officeDocument/2006/relationships/ctrlProp" Target="../ctrlProps/ctrlProp665.xml"/><Relationship Id="rId8" Type="http://schemas.openxmlformats.org/officeDocument/2006/relationships/ctrlProp" Target="../ctrlProps/ctrlProp617.xml"/><Relationship Id="rId51" Type="http://schemas.openxmlformats.org/officeDocument/2006/relationships/ctrlProp" Target="../ctrlProps/ctrlProp660.xml"/><Relationship Id="rId3" Type="http://schemas.openxmlformats.org/officeDocument/2006/relationships/vmlDrawing" Target="../drawings/vmlDrawing30.vml"/><Relationship Id="rId12" Type="http://schemas.openxmlformats.org/officeDocument/2006/relationships/ctrlProp" Target="../ctrlProps/ctrlProp621.xml"/><Relationship Id="rId17" Type="http://schemas.openxmlformats.org/officeDocument/2006/relationships/ctrlProp" Target="../ctrlProps/ctrlProp626.xml"/><Relationship Id="rId25" Type="http://schemas.openxmlformats.org/officeDocument/2006/relationships/ctrlProp" Target="../ctrlProps/ctrlProp634.xml"/><Relationship Id="rId33" Type="http://schemas.openxmlformats.org/officeDocument/2006/relationships/ctrlProp" Target="../ctrlProps/ctrlProp642.xml"/><Relationship Id="rId38" Type="http://schemas.openxmlformats.org/officeDocument/2006/relationships/ctrlProp" Target="../ctrlProps/ctrlProp647.xml"/><Relationship Id="rId46" Type="http://schemas.openxmlformats.org/officeDocument/2006/relationships/ctrlProp" Target="../ctrlProps/ctrlProp655.xml"/><Relationship Id="rId59" Type="http://schemas.openxmlformats.org/officeDocument/2006/relationships/ctrlProp" Target="../ctrlProps/ctrlProp668.xml"/><Relationship Id="rId20" Type="http://schemas.openxmlformats.org/officeDocument/2006/relationships/ctrlProp" Target="../ctrlProps/ctrlProp629.xml"/><Relationship Id="rId41" Type="http://schemas.openxmlformats.org/officeDocument/2006/relationships/ctrlProp" Target="../ctrlProps/ctrlProp650.xml"/><Relationship Id="rId54" Type="http://schemas.openxmlformats.org/officeDocument/2006/relationships/ctrlProp" Target="../ctrlProps/ctrlProp663.xml"/><Relationship Id="rId1" Type="http://schemas.openxmlformats.org/officeDocument/2006/relationships/printerSettings" Target="../printerSettings/printerSettings28.bin"/><Relationship Id="rId6" Type="http://schemas.openxmlformats.org/officeDocument/2006/relationships/ctrlProp" Target="../ctrlProps/ctrlProp615.xml"/><Relationship Id="rId15" Type="http://schemas.openxmlformats.org/officeDocument/2006/relationships/ctrlProp" Target="../ctrlProps/ctrlProp624.xml"/><Relationship Id="rId23" Type="http://schemas.openxmlformats.org/officeDocument/2006/relationships/ctrlProp" Target="../ctrlProps/ctrlProp632.xml"/><Relationship Id="rId28" Type="http://schemas.openxmlformats.org/officeDocument/2006/relationships/ctrlProp" Target="../ctrlProps/ctrlProp637.xml"/><Relationship Id="rId36" Type="http://schemas.openxmlformats.org/officeDocument/2006/relationships/ctrlProp" Target="../ctrlProps/ctrlProp645.xml"/><Relationship Id="rId49" Type="http://schemas.openxmlformats.org/officeDocument/2006/relationships/ctrlProp" Target="../ctrlProps/ctrlProp658.xml"/><Relationship Id="rId57" Type="http://schemas.openxmlformats.org/officeDocument/2006/relationships/ctrlProp" Target="../ctrlProps/ctrlProp666.xml"/><Relationship Id="rId10" Type="http://schemas.openxmlformats.org/officeDocument/2006/relationships/ctrlProp" Target="../ctrlProps/ctrlProp619.xml"/><Relationship Id="rId31" Type="http://schemas.openxmlformats.org/officeDocument/2006/relationships/ctrlProp" Target="../ctrlProps/ctrlProp640.xml"/><Relationship Id="rId44" Type="http://schemas.openxmlformats.org/officeDocument/2006/relationships/ctrlProp" Target="../ctrlProps/ctrlProp653.xml"/><Relationship Id="rId52" Type="http://schemas.openxmlformats.org/officeDocument/2006/relationships/ctrlProp" Target="../ctrlProps/ctrlProp661.xml"/><Relationship Id="rId60" Type="http://schemas.openxmlformats.org/officeDocument/2006/relationships/ctrlProp" Target="../ctrlProps/ctrlProp669.xml"/><Relationship Id="rId4" Type="http://schemas.openxmlformats.org/officeDocument/2006/relationships/ctrlProp" Target="../ctrlProps/ctrlProp613.xml"/><Relationship Id="rId9" Type="http://schemas.openxmlformats.org/officeDocument/2006/relationships/ctrlProp" Target="../ctrlProps/ctrlProp618.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680.xml"/><Relationship Id="rId18" Type="http://schemas.openxmlformats.org/officeDocument/2006/relationships/ctrlProp" Target="../ctrlProps/ctrlProp685.xml"/><Relationship Id="rId26" Type="http://schemas.openxmlformats.org/officeDocument/2006/relationships/ctrlProp" Target="../ctrlProps/ctrlProp693.xml"/><Relationship Id="rId39" Type="http://schemas.openxmlformats.org/officeDocument/2006/relationships/ctrlProp" Target="../ctrlProps/ctrlProp706.xml"/><Relationship Id="rId21" Type="http://schemas.openxmlformats.org/officeDocument/2006/relationships/ctrlProp" Target="../ctrlProps/ctrlProp688.xml"/><Relationship Id="rId34" Type="http://schemas.openxmlformats.org/officeDocument/2006/relationships/ctrlProp" Target="../ctrlProps/ctrlProp701.xml"/><Relationship Id="rId42" Type="http://schemas.openxmlformats.org/officeDocument/2006/relationships/ctrlProp" Target="../ctrlProps/ctrlProp709.xml"/><Relationship Id="rId47" Type="http://schemas.openxmlformats.org/officeDocument/2006/relationships/ctrlProp" Target="../ctrlProps/ctrlProp714.xml"/><Relationship Id="rId50" Type="http://schemas.openxmlformats.org/officeDocument/2006/relationships/ctrlProp" Target="../ctrlProps/ctrlProp717.xml"/><Relationship Id="rId55" Type="http://schemas.openxmlformats.org/officeDocument/2006/relationships/ctrlProp" Target="../ctrlProps/ctrlProp722.xml"/><Relationship Id="rId7" Type="http://schemas.openxmlformats.org/officeDocument/2006/relationships/ctrlProp" Target="../ctrlProps/ctrlProp674.xml"/><Relationship Id="rId2" Type="http://schemas.openxmlformats.org/officeDocument/2006/relationships/drawing" Target="../drawings/drawing31.xml"/><Relationship Id="rId16" Type="http://schemas.openxmlformats.org/officeDocument/2006/relationships/ctrlProp" Target="../ctrlProps/ctrlProp683.xml"/><Relationship Id="rId29" Type="http://schemas.openxmlformats.org/officeDocument/2006/relationships/ctrlProp" Target="../ctrlProps/ctrlProp696.xml"/><Relationship Id="rId11" Type="http://schemas.openxmlformats.org/officeDocument/2006/relationships/ctrlProp" Target="../ctrlProps/ctrlProp678.xml"/><Relationship Id="rId24" Type="http://schemas.openxmlformats.org/officeDocument/2006/relationships/ctrlProp" Target="../ctrlProps/ctrlProp691.xml"/><Relationship Id="rId32" Type="http://schemas.openxmlformats.org/officeDocument/2006/relationships/ctrlProp" Target="../ctrlProps/ctrlProp699.xml"/><Relationship Id="rId37" Type="http://schemas.openxmlformats.org/officeDocument/2006/relationships/ctrlProp" Target="../ctrlProps/ctrlProp704.xml"/><Relationship Id="rId40" Type="http://schemas.openxmlformats.org/officeDocument/2006/relationships/ctrlProp" Target="../ctrlProps/ctrlProp707.xml"/><Relationship Id="rId45" Type="http://schemas.openxmlformats.org/officeDocument/2006/relationships/ctrlProp" Target="../ctrlProps/ctrlProp712.xml"/><Relationship Id="rId53" Type="http://schemas.openxmlformats.org/officeDocument/2006/relationships/ctrlProp" Target="../ctrlProps/ctrlProp720.xml"/><Relationship Id="rId58" Type="http://schemas.openxmlformats.org/officeDocument/2006/relationships/ctrlProp" Target="../ctrlProps/ctrlProp725.xml"/><Relationship Id="rId5" Type="http://schemas.openxmlformats.org/officeDocument/2006/relationships/ctrlProp" Target="../ctrlProps/ctrlProp672.xml"/><Relationship Id="rId61" Type="http://schemas.openxmlformats.org/officeDocument/2006/relationships/ctrlProp" Target="../ctrlProps/ctrlProp728.xml"/><Relationship Id="rId19" Type="http://schemas.openxmlformats.org/officeDocument/2006/relationships/ctrlProp" Target="../ctrlProps/ctrlProp686.xml"/><Relationship Id="rId14" Type="http://schemas.openxmlformats.org/officeDocument/2006/relationships/ctrlProp" Target="../ctrlProps/ctrlProp681.xml"/><Relationship Id="rId22" Type="http://schemas.openxmlformats.org/officeDocument/2006/relationships/ctrlProp" Target="../ctrlProps/ctrlProp689.xml"/><Relationship Id="rId27" Type="http://schemas.openxmlformats.org/officeDocument/2006/relationships/ctrlProp" Target="../ctrlProps/ctrlProp694.xml"/><Relationship Id="rId30" Type="http://schemas.openxmlformats.org/officeDocument/2006/relationships/ctrlProp" Target="../ctrlProps/ctrlProp697.xml"/><Relationship Id="rId35" Type="http://schemas.openxmlformats.org/officeDocument/2006/relationships/ctrlProp" Target="../ctrlProps/ctrlProp702.xml"/><Relationship Id="rId43" Type="http://schemas.openxmlformats.org/officeDocument/2006/relationships/ctrlProp" Target="../ctrlProps/ctrlProp710.xml"/><Relationship Id="rId48" Type="http://schemas.openxmlformats.org/officeDocument/2006/relationships/ctrlProp" Target="../ctrlProps/ctrlProp715.xml"/><Relationship Id="rId56" Type="http://schemas.openxmlformats.org/officeDocument/2006/relationships/ctrlProp" Target="../ctrlProps/ctrlProp723.xml"/><Relationship Id="rId8" Type="http://schemas.openxmlformats.org/officeDocument/2006/relationships/ctrlProp" Target="../ctrlProps/ctrlProp675.xml"/><Relationship Id="rId51" Type="http://schemas.openxmlformats.org/officeDocument/2006/relationships/ctrlProp" Target="../ctrlProps/ctrlProp718.xml"/><Relationship Id="rId3" Type="http://schemas.openxmlformats.org/officeDocument/2006/relationships/vmlDrawing" Target="../drawings/vmlDrawing31.vml"/><Relationship Id="rId12" Type="http://schemas.openxmlformats.org/officeDocument/2006/relationships/ctrlProp" Target="../ctrlProps/ctrlProp679.xml"/><Relationship Id="rId17" Type="http://schemas.openxmlformats.org/officeDocument/2006/relationships/ctrlProp" Target="../ctrlProps/ctrlProp684.xml"/><Relationship Id="rId25" Type="http://schemas.openxmlformats.org/officeDocument/2006/relationships/ctrlProp" Target="../ctrlProps/ctrlProp692.xml"/><Relationship Id="rId33" Type="http://schemas.openxmlformats.org/officeDocument/2006/relationships/ctrlProp" Target="../ctrlProps/ctrlProp700.xml"/><Relationship Id="rId38" Type="http://schemas.openxmlformats.org/officeDocument/2006/relationships/ctrlProp" Target="../ctrlProps/ctrlProp705.xml"/><Relationship Id="rId46" Type="http://schemas.openxmlformats.org/officeDocument/2006/relationships/ctrlProp" Target="../ctrlProps/ctrlProp713.xml"/><Relationship Id="rId59" Type="http://schemas.openxmlformats.org/officeDocument/2006/relationships/ctrlProp" Target="../ctrlProps/ctrlProp726.xml"/><Relationship Id="rId20" Type="http://schemas.openxmlformats.org/officeDocument/2006/relationships/ctrlProp" Target="../ctrlProps/ctrlProp687.xml"/><Relationship Id="rId41" Type="http://schemas.openxmlformats.org/officeDocument/2006/relationships/ctrlProp" Target="../ctrlProps/ctrlProp708.xml"/><Relationship Id="rId54" Type="http://schemas.openxmlformats.org/officeDocument/2006/relationships/ctrlProp" Target="../ctrlProps/ctrlProp721.xml"/><Relationship Id="rId1" Type="http://schemas.openxmlformats.org/officeDocument/2006/relationships/printerSettings" Target="../printerSettings/printerSettings29.bin"/><Relationship Id="rId6" Type="http://schemas.openxmlformats.org/officeDocument/2006/relationships/ctrlProp" Target="../ctrlProps/ctrlProp673.xml"/><Relationship Id="rId15" Type="http://schemas.openxmlformats.org/officeDocument/2006/relationships/ctrlProp" Target="../ctrlProps/ctrlProp682.xml"/><Relationship Id="rId23" Type="http://schemas.openxmlformats.org/officeDocument/2006/relationships/ctrlProp" Target="../ctrlProps/ctrlProp690.xml"/><Relationship Id="rId28" Type="http://schemas.openxmlformats.org/officeDocument/2006/relationships/ctrlProp" Target="../ctrlProps/ctrlProp695.xml"/><Relationship Id="rId36" Type="http://schemas.openxmlformats.org/officeDocument/2006/relationships/ctrlProp" Target="../ctrlProps/ctrlProp703.xml"/><Relationship Id="rId49" Type="http://schemas.openxmlformats.org/officeDocument/2006/relationships/ctrlProp" Target="../ctrlProps/ctrlProp716.xml"/><Relationship Id="rId57" Type="http://schemas.openxmlformats.org/officeDocument/2006/relationships/ctrlProp" Target="../ctrlProps/ctrlProp724.xml"/><Relationship Id="rId10" Type="http://schemas.openxmlformats.org/officeDocument/2006/relationships/ctrlProp" Target="../ctrlProps/ctrlProp677.xml"/><Relationship Id="rId31" Type="http://schemas.openxmlformats.org/officeDocument/2006/relationships/ctrlProp" Target="../ctrlProps/ctrlProp698.xml"/><Relationship Id="rId44" Type="http://schemas.openxmlformats.org/officeDocument/2006/relationships/ctrlProp" Target="../ctrlProps/ctrlProp711.xml"/><Relationship Id="rId52" Type="http://schemas.openxmlformats.org/officeDocument/2006/relationships/ctrlProp" Target="../ctrlProps/ctrlProp719.xml"/><Relationship Id="rId60" Type="http://schemas.openxmlformats.org/officeDocument/2006/relationships/ctrlProp" Target="../ctrlProps/ctrlProp727.xml"/><Relationship Id="rId4" Type="http://schemas.openxmlformats.org/officeDocument/2006/relationships/ctrlProp" Target="../ctrlProps/ctrlProp671.xml"/><Relationship Id="rId9" Type="http://schemas.openxmlformats.org/officeDocument/2006/relationships/ctrlProp" Target="../ctrlProps/ctrlProp676.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738.xml"/><Relationship Id="rId18" Type="http://schemas.openxmlformats.org/officeDocument/2006/relationships/ctrlProp" Target="../ctrlProps/ctrlProp743.xml"/><Relationship Id="rId26" Type="http://schemas.openxmlformats.org/officeDocument/2006/relationships/ctrlProp" Target="../ctrlProps/ctrlProp751.xml"/><Relationship Id="rId39" Type="http://schemas.openxmlformats.org/officeDocument/2006/relationships/ctrlProp" Target="../ctrlProps/ctrlProp764.xml"/><Relationship Id="rId21" Type="http://schemas.openxmlformats.org/officeDocument/2006/relationships/ctrlProp" Target="../ctrlProps/ctrlProp746.xml"/><Relationship Id="rId34" Type="http://schemas.openxmlformats.org/officeDocument/2006/relationships/ctrlProp" Target="../ctrlProps/ctrlProp759.xml"/><Relationship Id="rId42" Type="http://schemas.openxmlformats.org/officeDocument/2006/relationships/ctrlProp" Target="../ctrlProps/ctrlProp767.xml"/><Relationship Id="rId47" Type="http://schemas.openxmlformats.org/officeDocument/2006/relationships/ctrlProp" Target="../ctrlProps/ctrlProp772.xml"/><Relationship Id="rId50" Type="http://schemas.openxmlformats.org/officeDocument/2006/relationships/ctrlProp" Target="../ctrlProps/ctrlProp775.xml"/><Relationship Id="rId55" Type="http://schemas.openxmlformats.org/officeDocument/2006/relationships/ctrlProp" Target="../ctrlProps/ctrlProp780.xml"/><Relationship Id="rId7" Type="http://schemas.openxmlformats.org/officeDocument/2006/relationships/ctrlProp" Target="../ctrlProps/ctrlProp732.xml"/><Relationship Id="rId2" Type="http://schemas.openxmlformats.org/officeDocument/2006/relationships/drawing" Target="../drawings/drawing32.xml"/><Relationship Id="rId16" Type="http://schemas.openxmlformats.org/officeDocument/2006/relationships/ctrlProp" Target="../ctrlProps/ctrlProp741.xml"/><Relationship Id="rId29" Type="http://schemas.openxmlformats.org/officeDocument/2006/relationships/ctrlProp" Target="../ctrlProps/ctrlProp754.xml"/><Relationship Id="rId11" Type="http://schemas.openxmlformats.org/officeDocument/2006/relationships/ctrlProp" Target="../ctrlProps/ctrlProp736.xml"/><Relationship Id="rId24" Type="http://schemas.openxmlformats.org/officeDocument/2006/relationships/ctrlProp" Target="../ctrlProps/ctrlProp749.xml"/><Relationship Id="rId32" Type="http://schemas.openxmlformats.org/officeDocument/2006/relationships/ctrlProp" Target="../ctrlProps/ctrlProp757.xml"/><Relationship Id="rId37" Type="http://schemas.openxmlformats.org/officeDocument/2006/relationships/ctrlProp" Target="../ctrlProps/ctrlProp762.xml"/><Relationship Id="rId40" Type="http://schemas.openxmlformats.org/officeDocument/2006/relationships/ctrlProp" Target="../ctrlProps/ctrlProp765.xml"/><Relationship Id="rId45" Type="http://schemas.openxmlformats.org/officeDocument/2006/relationships/ctrlProp" Target="../ctrlProps/ctrlProp770.xml"/><Relationship Id="rId53" Type="http://schemas.openxmlformats.org/officeDocument/2006/relationships/ctrlProp" Target="../ctrlProps/ctrlProp778.xml"/><Relationship Id="rId58" Type="http://schemas.openxmlformats.org/officeDocument/2006/relationships/ctrlProp" Target="../ctrlProps/ctrlProp783.xml"/><Relationship Id="rId5" Type="http://schemas.openxmlformats.org/officeDocument/2006/relationships/ctrlProp" Target="../ctrlProps/ctrlProp730.xml"/><Relationship Id="rId61" Type="http://schemas.openxmlformats.org/officeDocument/2006/relationships/ctrlProp" Target="../ctrlProps/ctrlProp786.xml"/><Relationship Id="rId19" Type="http://schemas.openxmlformats.org/officeDocument/2006/relationships/ctrlProp" Target="../ctrlProps/ctrlProp744.xml"/><Relationship Id="rId14" Type="http://schemas.openxmlformats.org/officeDocument/2006/relationships/ctrlProp" Target="../ctrlProps/ctrlProp739.xml"/><Relationship Id="rId22" Type="http://schemas.openxmlformats.org/officeDocument/2006/relationships/ctrlProp" Target="../ctrlProps/ctrlProp747.xml"/><Relationship Id="rId27" Type="http://schemas.openxmlformats.org/officeDocument/2006/relationships/ctrlProp" Target="../ctrlProps/ctrlProp752.xml"/><Relationship Id="rId30" Type="http://schemas.openxmlformats.org/officeDocument/2006/relationships/ctrlProp" Target="../ctrlProps/ctrlProp755.xml"/><Relationship Id="rId35" Type="http://schemas.openxmlformats.org/officeDocument/2006/relationships/ctrlProp" Target="../ctrlProps/ctrlProp760.xml"/><Relationship Id="rId43" Type="http://schemas.openxmlformats.org/officeDocument/2006/relationships/ctrlProp" Target="../ctrlProps/ctrlProp768.xml"/><Relationship Id="rId48" Type="http://schemas.openxmlformats.org/officeDocument/2006/relationships/ctrlProp" Target="../ctrlProps/ctrlProp773.xml"/><Relationship Id="rId56" Type="http://schemas.openxmlformats.org/officeDocument/2006/relationships/ctrlProp" Target="../ctrlProps/ctrlProp781.xml"/><Relationship Id="rId8" Type="http://schemas.openxmlformats.org/officeDocument/2006/relationships/ctrlProp" Target="../ctrlProps/ctrlProp733.xml"/><Relationship Id="rId51" Type="http://schemas.openxmlformats.org/officeDocument/2006/relationships/ctrlProp" Target="../ctrlProps/ctrlProp776.xml"/><Relationship Id="rId3" Type="http://schemas.openxmlformats.org/officeDocument/2006/relationships/vmlDrawing" Target="../drawings/vmlDrawing32.vml"/><Relationship Id="rId12" Type="http://schemas.openxmlformats.org/officeDocument/2006/relationships/ctrlProp" Target="../ctrlProps/ctrlProp737.xml"/><Relationship Id="rId17" Type="http://schemas.openxmlformats.org/officeDocument/2006/relationships/ctrlProp" Target="../ctrlProps/ctrlProp742.xml"/><Relationship Id="rId25" Type="http://schemas.openxmlformats.org/officeDocument/2006/relationships/ctrlProp" Target="../ctrlProps/ctrlProp750.xml"/><Relationship Id="rId33" Type="http://schemas.openxmlformats.org/officeDocument/2006/relationships/ctrlProp" Target="../ctrlProps/ctrlProp758.xml"/><Relationship Id="rId38" Type="http://schemas.openxmlformats.org/officeDocument/2006/relationships/ctrlProp" Target="../ctrlProps/ctrlProp763.xml"/><Relationship Id="rId46" Type="http://schemas.openxmlformats.org/officeDocument/2006/relationships/ctrlProp" Target="../ctrlProps/ctrlProp771.xml"/><Relationship Id="rId59" Type="http://schemas.openxmlformats.org/officeDocument/2006/relationships/ctrlProp" Target="../ctrlProps/ctrlProp784.xml"/><Relationship Id="rId20" Type="http://schemas.openxmlformats.org/officeDocument/2006/relationships/ctrlProp" Target="../ctrlProps/ctrlProp745.xml"/><Relationship Id="rId41" Type="http://schemas.openxmlformats.org/officeDocument/2006/relationships/ctrlProp" Target="../ctrlProps/ctrlProp766.xml"/><Relationship Id="rId54" Type="http://schemas.openxmlformats.org/officeDocument/2006/relationships/ctrlProp" Target="../ctrlProps/ctrlProp779.xml"/><Relationship Id="rId1" Type="http://schemas.openxmlformats.org/officeDocument/2006/relationships/printerSettings" Target="../printerSettings/printerSettings30.bin"/><Relationship Id="rId6" Type="http://schemas.openxmlformats.org/officeDocument/2006/relationships/ctrlProp" Target="../ctrlProps/ctrlProp731.xml"/><Relationship Id="rId15" Type="http://schemas.openxmlformats.org/officeDocument/2006/relationships/ctrlProp" Target="../ctrlProps/ctrlProp740.xml"/><Relationship Id="rId23" Type="http://schemas.openxmlformats.org/officeDocument/2006/relationships/ctrlProp" Target="../ctrlProps/ctrlProp748.xml"/><Relationship Id="rId28" Type="http://schemas.openxmlformats.org/officeDocument/2006/relationships/ctrlProp" Target="../ctrlProps/ctrlProp753.xml"/><Relationship Id="rId36" Type="http://schemas.openxmlformats.org/officeDocument/2006/relationships/ctrlProp" Target="../ctrlProps/ctrlProp761.xml"/><Relationship Id="rId49" Type="http://schemas.openxmlformats.org/officeDocument/2006/relationships/ctrlProp" Target="../ctrlProps/ctrlProp774.xml"/><Relationship Id="rId57" Type="http://schemas.openxmlformats.org/officeDocument/2006/relationships/ctrlProp" Target="../ctrlProps/ctrlProp782.xml"/><Relationship Id="rId10" Type="http://schemas.openxmlformats.org/officeDocument/2006/relationships/ctrlProp" Target="../ctrlProps/ctrlProp735.xml"/><Relationship Id="rId31" Type="http://schemas.openxmlformats.org/officeDocument/2006/relationships/ctrlProp" Target="../ctrlProps/ctrlProp756.xml"/><Relationship Id="rId44" Type="http://schemas.openxmlformats.org/officeDocument/2006/relationships/ctrlProp" Target="../ctrlProps/ctrlProp769.xml"/><Relationship Id="rId52" Type="http://schemas.openxmlformats.org/officeDocument/2006/relationships/ctrlProp" Target="../ctrlProps/ctrlProp777.xml"/><Relationship Id="rId60" Type="http://schemas.openxmlformats.org/officeDocument/2006/relationships/ctrlProp" Target="../ctrlProps/ctrlProp785.xml"/><Relationship Id="rId4" Type="http://schemas.openxmlformats.org/officeDocument/2006/relationships/ctrlProp" Target="../ctrlProps/ctrlProp729.xml"/><Relationship Id="rId9" Type="http://schemas.openxmlformats.org/officeDocument/2006/relationships/ctrlProp" Target="../ctrlProps/ctrlProp734.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796.xml"/><Relationship Id="rId18" Type="http://schemas.openxmlformats.org/officeDocument/2006/relationships/ctrlProp" Target="../ctrlProps/ctrlProp801.xml"/><Relationship Id="rId26" Type="http://schemas.openxmlformats.org/officeDocument/2006/relationships/ctrlProp" Target="../ctrlProps/ctrlProp809.xml"/><Relationship Id="rId39" Type="http://schemas.openxmlformats.org/officeDocument/2006/relationships/ctrlProp" Target="../ctrlProps/ctrlProp822.xml"/><Relationship Id="rId21" Type="http://schemas.openxmlformats.org/officeDocument/2006/relationships/ctrlProp" Target="../ctrlProps/ctrlProp804.xml"/><Relationship Id="rId34" Type="http://schemas.openxmlformats.org/officeDocument/2006/relationships/ctrlProp" Target="../ctrlProps/ctrlProp817.xml"/><Relationship Id="rId42" Type="http://schemas.openxmlformats.org/officeDocument/2006/relationships/ctrlProp" Target="../ctrlProps/ctrlProp825.xml"/><Relationship Id="rId47" Type="http://schemas.openxmlformats.org/officeDocument/2006/relationships/ctrlProp" Target="../ctrlProps/ctrlProp830.xml"/><Relationship Id="rId50" Type="http://schemas.openxmlformats.org/officeDocument/2006/relationships/ctrlProp" Target="../ctrlProps/ctrlProp833.xml"/><Relationship Id="rId55" Type="http://schemas.openxmlformats.org/officeDocument/2006/relationships/ctrlProp" Target="../ctrlProps/ctrlProp838.xml"/><Relationship Id="rId7" Type="http://schemas.openxmlformats.org/officeDocument/2006/relationships/ctrlProp" Target="../ctrlProps/ctrlProp790.xml"/><Relationship Id="rId2" Type="http://schemas.openxmlformats.org/officeDocument/2006/relationships/drawing" Target="../drawings/drawing33.xml"/><Relationship Id="rId16" Type="http://schemas.openxmlformats.org/officeDocument/2006/relationships/ctrlProp" Target="../ctrlProps/ctrlProp799.xml"/><Relationship Id="rId29" Type="http://schemas.openxmlformats.org/officeDocument/2006/relationships/ctrlProp" Target="../ctrlProps/ctrlProp812.xml"/><Relationship Id="rId11" Type="http://schemas.openxmlformats.org/officeDocument/2006/relationships/ctrlProp" Target="../ctrlProps/ctrlProp794.xml"/><Relationship Id="rId24" Type="http://schemas.openxmlformats.org/officeDocument/2006/relationships/ctrlProp" Target="../ctrlProps/ctrlProp807.xml"/><Relationship Id="rId32" Type="http://schemas.openxmlformats.org/officeDocument/2006/relationships/ctrlProp" Target="../ctrlProps/ctrlProp815.xml"/><Relationship Id="rId37" Type="http://schemas.openxmlformats.org/officeDocument/2006/relationships/ctrlProp" Target="../ctrlProps/ctrlProp820.xml"/><Relationship Id="rId40" Type="http://schemas.openxmlformats.org/officeDocument/2006/relationships/ctrlProp" Target="../ctrlProps/ctrlProp823.xml"/><Relationship Id="rId45" Type="http://schemas.openxmlformats.org/officeDocument/2006/relationships/ctrlProp" Target="../ctrlProps/ctrlProp828.xml"/><Relationship Id="rId53" Type="http://schemas.openxmlformats.org/officeDocument/2006/relationships/ctrlProp" Target="../ctrlProps/ctrlProp836.xml"/><Relationship Id="rId58" Type="http://schemas.openxmlformats.org/officeDocument/2006/relationships/ctrlProp" Target="../ctrlProps/ctrlProp841.xml"/><Relationship Id="rId5" Type="http://schemas.openxmlformats.org/officeDocument/2006/relationships/ctrlProp" Target="../ctrlProps/ctrlProp788.xml"/><Relationship Id="rId61" Type="http://schemas.openxmlformats.org/officeDocument/2006/relationships/ctrlProp" Target="../ctrlProps/ctrlProp844.xml"/><Relationship Id="rId19" Type="http://schemas.openxmlformats.org/officeDocument/2006/relationships/ctrlProp" Target="../ctrlProps/ctrlProp802.xml"/><Relationship Id="rId14" Type="http://schemas.openxmlformats.org/officeDocument/2006/relationships/ctrlProp" Target="../ctrlProps/ctrlProp797.xml"/><Relationship Id="rId22" Type="http://schemas.openxmlformats.org/officeDocument/2006/relationships/ctrlProp" Target="../ctrlProps/ctrlProp805.xml"/><Relationship Id="rId27" Type="http://schemas.openxmlformats.org/officeDocument/2006/relationships/ctrlProp" Target="../ctrlProps/ctrlProp810.xml"/><Relationship Id="rId30" Type="http://schemas.openxmlformats.org/officeDocument/2006/relationships/ctrlProp" Target="../ctrlProps/ctrlProp813.xml"/><Relationship Id="rId35" Type="http://schemas.openxmlformats.org/officeDocument/2006/relationships/ctrlProp" Target="../ctrlProps/ctrlProp818.xml"/><Relationship Id="rId43" Type="http://schemas.openxmlformats.org/officeDocument/2006/relationships/ctrlProp" Target="../ctrlProps/ctrlProp826.xml"/><Relationship Id="rId48" Type="http://schemas.openxmlformats.org/officeDocument/2006/relationships/ctrlProp" Target="../ctrlProps/ctrlProp831.xml"/><Relationship Id="rId56" Type="http://schemas.openxmlformats.org/officeDocument/2006/relationships/ctrlProp" Target="../ctrlProps/ctrlProp839.xml"/><Relationship Id="rId8" Type="http://schemas.openxmlformats.org/officeDocument/2006/relationships/ctrlProp" Target="../ctrlProps/ctrlProp791.xml"/><Relationship Id="rId51" Type="http://schemas.openxmlformats.org/officeDocument/2006/relationships/ctrlProp" Target="../ctrlProps/ctrlProp834.xml"/><Relationship Id="rId3" Type="http://schemas.openxmlformats.org/officeDocument/2006/relationships/vmlDrawing" Target="../drawings/vmlDrawing33.vml"/><Relationship Id="rId12" Type="http://schemas.openxmlformats.org/officeDocument/2006/relationships/ctrlProp" Target="../ctrlProps/ctrlProp795.xml"/><Relationship Id="rId17" Type="http://schemas.openxmlformats.org/officeDocument/2006/relationships/ctrlProp" Target="../ctrlProps/ctrlProp800.xml"/><Relationship Id="rId25" Type="http://schemas.openxmlformats.org/officeDocument/2006/relationships/ctrlProp" Target="../ctrlProps/ctrlProp808.xml"/><Relationship Id="rId33" Type="http://schemas.openxmlformats.org/officeDocument/2006/relationships/ctrlProp" Target="../ctrlProps/ctrlProp816.xml"/><Relationship Id="rId38" Type="http://schemas.openxmlformats.org/officeDocument/2006/relationships/ctrlProp" Target="../ctrlProps/ctrlProp821.xml"/><Relationship Id="rId46" Type="http://schemas.openxmlformats.org/officeDocument/2006/relationships/ctrlProp" Target="../ctrlProps/ctrlProp829.xml"/><Relationship Id="rId59" Type="http://schemas.openxmlformats.org/officeDocument/2006/relationships/ctrlProp" Target="../ctrlProps/ctrlProp842.xml"/><Relationship Id="rId20" Type="http://schemas.openxmlformats.org/officeDocument/2006/relationships/ctrlProp" Target="../ctrlProps/ctrlProp803.xml"/><Relationship Id="rId41" Type="http://schemas.openxmlformats.org/officeDocument/2006/relationships/ctrlProp" Target="../ctrlProps/ctrlProp824.xml"/><Relationship Id="rId54" Type="http://schemas.openxmlformats.org/officeDocument/2006/relationships/ctrlProp" Target="../ctrlProps/ctrlProp837.xml"/><Relationship Id="rId1" Type="http://schemas.openxmlformats.org/officeDocument/2006/relationships/printerSettings" Target="../printerSettings/printerSettings31.bin"/><Relationship Id="rId6" Type="http://schemas.openxmlformats.org/officeDocument/2006/relationships/ctrlProp" Target="../ctrlProps/ctrlProp789.xml"/><Relationship Id="rId15" Type="http://schemas.openxmlformats.org/officeDocument/2006/relationships/ctrlProp" Target="../ctrlProps/ctrlProp798.xml"/><Relationship Id="rId23" Type="http://schemas.openxmlformats.org/officeDocument/2006/relationships/ctrlProp" Target="../ctrlProps/ctrlProp806.xml"/><Relationship Id="rId28" Type="http://schemas.openxmlformats.org/officeDocument/2006/relationships/ctrlProp" Target="../ctrlProps/ctrlProp811.xml"/><Relationship Id="rId36" Type="http://schemas.openxmlformats.org/officeDocument/2006/relationships/ctrlProp" Target="../ctrlProps/ctrlProp819.xml"/><Relationship Id="rId49" Type="http://schemas.openxmlformats.org/officeDocument/2006/relationships/ctrlProp" Target="../ctrlProps/ctrlProp832.xml"/><Relationship Id="rId57" Type="http://schemas.openxmlformats.org/officeDocument/2006/relationships/ctrlProp" Target="../ctrlProps/ctrlProp840.xml"/><Relationship Id="rId10" Type="http://schemas.openxmlformats.org/officeDocument/2006/relationships/ctrlProp" Target="../ctrlProps/ctrlProp793.xml"/><Relationship Id="rId31" Type="http://schemas.openxmlformats.org/officeDocument/2006/relationships/ctrlProp" Target="../ctrlProps/ctrlProp814.xml"/><Relationship Id="rId44" Type="http://schemas.openxmlformats.org/officeDocument/2006/relationships/ctrlProp" Target="../ctrlProps/ctrlProp827.xml"/><Relationship Id="rId52" Type="http://schemas.openxmlformats.org/officeDocument/2006/relationships/ctrlProp" Target="../ctrlProps/ctrlProp835.xml"/><Relationship Id="rId60" Type="http://schemas.openxmlformats.org/officeDocument/2006/relationships/ctrlProp" Target="../ctrlProps/ctrlProp843.xml"/><Relationship Id="rId4" Type="http://schemas.openxmlformats.org/officeDocument/2006/relationships/ctrlProp" Target="../ctrlProps/ctrlProp787.xml"/><Relationship Id="rId9" Type="http://schemas.openxmlformats.org/officeDocument/2006/relationships/ctrlProp" Target="../ctrlProps/ctrlProp792.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854.xml"/><Relationship Id="rId18" Type="http://schemas.openxmlformats.org/officeDocument/2006/relationships/ctrlProp" Target="../ctrlProps/ctrlProp859.xml"/><Relationship Id="rId26" Type="http://schemas.openxmlformats.org/officeDocument/2006/relationships/ctrlProp" Target="../ctrlProps/ctrlProp867.xml"/><Relationship Id="rId39" Type="http://schemas.openxmlformats.org/officeDocument/2006/relationships/ctrlProp" Target="../ctrlProps/ctrlProp880.xml"/><Relationship Id="rId21" Type="http://schemas.openxmlformats.org/officeDocument/2006/relationships/ctrlProp" Target="../ctrlProps/ctrlProp862.xml"/><Relationship Id="rId34" Type="http://schemas.openxmlformats.org/officeDocument/2006/relationships/ctrlProp" Target="../ctrlProps/ctrlProp875.xml"/><Relationship Id="rId42" Type="http://schemas.openxmlformats.org/officeDocument/2006/relationships/ctrlProp" Target="../ctrlProps/ctrlProp883.xml"/><Relationship Id="rId47" Type="http://schemas.openxmlformats.org/officeDocument/2006/relationships/ctrlProp" Target="../ctrlProps/ctrlProp888.xml"/><Relationship Id="rId50" Type="http://schemas.openxmlformats.org/officeDocument/2006/relationships/ctrlProp" Target="../ctrlProps/ctrlProp891.xml"/><Relationship Id="rId55" Type="http://schemas.openxmlformats.org/officeDocument/2006/relationships/ctrlProp" Target="../ctrlProps/ctrlProp896.xml"/><Relationship Id="rId7" Type="http://schemas.openxmlformats.org/officeDocument/2006/relationships/ctrlProp" Target="../ctrlProps/ctrlProp848.xml"/><Relationship Id="rId2" Type="http://schemas.openxmlformats.org/officeDocument/2006/relationships/drawing" Target="../drawings/drawing34.xml"/><Relationship Id="rId16" Type="http://schemas.openxmlformats.org/officeDocument/2006/relationships/ctrlProp" Target="../ctrlProps/ctrlProp857.xml"/><Relationship Id="rId29" Type="http://schemas.openxmlformats.org/officeDocument/2006/relationships/ctrlProp" Target="../ctrlProps/ctrlProp870.xml"/><Relationship Id="rId11" Type="http://schemas.openxmlformats.org/officeDocument/2006/relationships/ctrlProp" Target="../ctrlProps/ctrlProp852.xml"/><Relationship Id="rId24" Type="http://schemas.openxmlformats.org/officeDocument/2006/relationships/ctrlProp" Target="../ctrlProps/ctrlProp865.xml"/><Relationship Id="rId32" Type="http://schemas.openxmlformats.org/officeDocument/2006/relationships/ctrlProp" Target="../ctrlProps/ctrlProp873.xml"/><Relationship Id="rId37" Type="http://schemas.openxmlformats.org/officeDocument/2006/relationships/ctrlProp" Target="../ctrlProps/ctrlProp878.xml"/><Relationship Id="rId40" Type="http://schemas.openxmlformats.org/officeDocument/2006/relationships/ctrlProp" Target="../ctrlProps/ctrlProp881.xml"/><Relationship Id="rId45" Type="http://schemas.openxmlformats.org/officeDocument/2006/relationships/ctrlProp" Target="../ctrlProps/ctrlProp886.xml"/><Relationship Id="rId53" Type="http://schemas.openxmlformats.org/officeDocument/2006/relationships/ctrlProp" Target="../ctrlProps/ctrlProp894.xml"/><Relationship Id="rId58" Type="http://schemas.openxmlformats.org/officeDocument/2006/relationships/ctrlProp" Target="../ctrlProps/ctrlProp899.xml"/><Relationship Id="rId5" Type="http://schemas.openxmlformats.org/officeDocument/2006/relationships/ctrlProp" Target="../ctrlProps/ctrlProp846.xml"/><Relationship Id="rId61" Type="http://schemas.openxmlformats.org/officeDocument/2006/relationships/ctrlProp" Target="../ctrlProps/ctrlProp902.xml"/><Relationship Id="rId19" Type="http://schemas.openxmlformats.org/officeDocument/2006/relationships/ctrlProp" Target="../ctrlProps/ctrlProp860.xml"/><Relationship Id="rId14" Type="http://schemas.openxmlformats.org/officeDocument/2006/relationships/ctrlProp" Target="../ctrlProps/ctrlProp855.xml"/><Relationship Id="rId22" Type="http://schemas.openxmlformats.org/officeDocument/2006/relationships/ctrlProp" Target="../ctrlProps/ctrlProp863.xml"/><Relationship Id="rId27" Type="http://schemas.openxmlformats.org/officeDocument/2006/relationships/ctrlProp" Target="../ctrlProps/ctrlProp868.xml"/><Relationship Id="rId30" Type="http://schemas.openxmlformats.org/officeDocument/2006/relationships/ctrlProp" Target="../ctrlProps/ctrlProp871.xml"/><Relationship Id="rId35" Type="http://schemas.openxmlformats.org/officeDocument/2006/relationships/ctrlProp" Target="../ctrlProps/ctrlProp876.xml"/><Relationship Id="rId43" Type="http://schemas.openxmlformats.org/officeDocument/2006/relationships/ctrlProp" Target="../ctrlProps/ctrlProp884.xml"/><Relationship Id="rId48" Type="http://schemas.openxmlformats.org/officeDocument/2006/relationships/ctrlProp" Target="../ctrlProps/ctrlProp889.xml"/><Relationship Id="rId56" Type="http://schemas.openxmlformats.org/officeDocument/2006/relationships/ctrlProp" Target="../ctrlProps/ctrlProp897.xml"/><Relationship Id="rId8" Type="http://schemas.openxmlformats.org/officeDocument/2006/relationships/ctrlProp" Target="../ctrlProps/ctrlProp849.xml"/><Relationship Id="rId51" Type="http://schemas.openxmlformats.org/officeDocument/2006/relationships/ctrlProp" Target="../ctrlProps/ctrlProp892.xml"/><Relationship Id="rId3" Type="http://schemas.openxmlformats.org/officeDocument/2006/relationships/vmlDrawing" Target="../drawings/vmlDrawing34.vml"/><Relationship Id="rId12" Type="http://schemas.openxmlformats.org/officeDocument/2006/relationships/ctrlProp" Target="../ctrlProps/ctrlProp853.xml"/><Relationship Id="rId17" Type="http://schemas.openxmlformats.org/officeDocument/2006/relationships/ctrlProp" Target="../ctrlProps/ctrlProp858.xml"/><Relationship Id="rId25" Type="http://schemas.openxmlformats.org/officeDocument/2006/relationships/ctrlProp" Target="../ctrlProps/ctrlProp866.xml"/><Relationship Id="rId33" Type="http://schemas.openxmlformats.org/officeDocument/2006/relationships/ctrlProp" Target="../ctrlProps/ctrlProp874.xml"/><Relationship Id="rId38" Type="http://schemas.openxmlformats.org/officeDocument/2006/relationships/ctrlProp" Target="../ctrlProps/ctrlProp879.xml"/><Relationship Id="rId46" Type="http://schemas.openxmlformats.org/officeDocument/2006/relationships/ctrlProp" Target="../ctrlProps/ctrlProp887.xml"/><Relationship Id="rId59" Type="http://schemas.openxmlformats.org/officeDocument/2006/relationships/ctrlProp" Target="../ctrlProps/ctrlProp900.xml"/><Relationship Id="rId20" Type="http://schemas.openxmlformats.org/officeDocument/2006/relationships/ctrlProp" Target="../ctrlProps/ctrlProp861.xml"/><Relationship Id="rId41" Type="http://schemas.openxmlformats.org/officeDocument/2006/relationships/ctrlProp" Target="../ctrlProps/ctrlProp882.xml"/><Relationship Id="rId54" Type="http://schemas.openxmlformats.org/officeDocument/2006/relationships/ctrlProp" Target="../ctrlProps/ctrlProp895.xml"/><Relationship Id="rId1" Type="http://schemas.openxmlformats.org/officeDocument/2006/relationships/printerSettings" Target="../printerSettings/printerSettings32.bin"/><Relationship Id="rId6" Type="http://schemas.openxmlformats.org/officeDocument/2006/relationships/ctrlProp" Target="../ctrlProps/ctrlProp847.xml"/><Relationship Id="rId15" Type="http://schemas.openxmlformats.org/officeDocument/2006/relationships/ctrlProp" Target="../ctrlProps/ctrlProp856.xml"/><Relationship Id="rId23" Type="http://schemas.openxmlformats.org/officeDocument/2006/relationships/ctrlProp" Target="../ctrlProps/ctrlProp864.xml"/><Relationship Id="rId28" Type="http://schemas.openxmlformats.org/officeDocument/2006/relationships/ctrlProp" Target="../ctrlProps/ctrlProp869.xml"/><Relationship Id="rId36" Type="http://schemas.openxmlformats.org/officeDocument/2006/relationships/ctrlProp" Target="../ctrlProps/ctrlProp877.xml"/><Relationship Id="rId49" Type="http://schemas.openxmlformats.org/officeDocument/2006/relationships/ctrlProp" Target="../ctrlProps/ctrlProp890.xml"/><Relationship Id="rId57" Type="http://schemas.openxmlformats.org/officeDocument/2006/relationships/ctrlProp" Target="../ctrlProps/ctrlProp898.xml"/><Relationship Id="rId10" Type="http://schemas.openxmlformats.org/officeDocument/2006/relationships/ctrlProp" Target="../ctrlProps/ctrlProp851.xml"/><Relationship Id="rId31" Type="http://schemas.openxmlformats.org/officeDocument/2006/relationships/ctrlProp" Target="../ctrlProps/ctrlProp872.xml"/><Relationship Id="rId44" Type="http://schemas.openxmlformats.org/officeDocument/2006/relationships/ctrlProp" Target="../ctrlProps/ctrlProp885.xml"/><Relationship Id="rId52" Type="http://schemas.openxmlformats.org/officeDocument/2006/relationships/ctrlProp" Target="../ctrlProps/ctrlProp893.xml"/><Relationship Id="rId60" Type="http://schemas.openxmlformats.org/officeDocument/2006/relationships/ctrlProp" Target="../ctrlProps/ctrlProp901.xml"/><Relationship Id="rId4" Type="http://schemas.openxmlformats.org/officeDocument/2006/relationships/ctrlProp" Target="../ctrlProps/ctrlProp845.xml"/><Relationship Id="rId9" Type="http://schemas.openxmlformats.org/officeDocument/2006/relationships/ctrlProp" Target="../ctrlProps/ctrlProp850.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908.xml"/><Relationship Id="rId3" Type="http://schemas.openxmlformats.org/officeDocument/2006/relationships/ctrlProp" Target="../ctrlProps/ctrlProp903.xml"/><Relationship Id="rId7" Type="http://schemas.openxmlformats.org/officeDocument/2006/relationships/ctrlProp" Target="../ctrlProps/ctrlProp907.xml"/><Relationship Id="rId2" Type="http://schemas.openxmlformats.org/officeDocument/2006/relationships/vmlDrawing" Target="../drawings/vmlDrawing35.vml"/><Relationship Id="rId1" Type="http://schemas.openxmlformats.org/officeDocument/2006/relationships/drawing" Target="../drawings/drawing35.xml"/><Relationship Id="rId6" Type="http://schemas.openxmlformats.org/officeDocument/2006/relationships/ctrlProp" Target="../ctrlProps/ctrlProp906.xml"/><Relationship Id="rId5" Type="http://schemas.openxmlformats.org/officeDocument/2006/relationships/ctrlProp" Target="../ctrlProps/ctrlProp905.xml"/><Relationship Id="rId4" Type="http://schemas.openxmlformats.org/officeDocument/2006/relationships/ctrlProp" Target="../ctrlProps/ctrlProp904.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914.xml"/><Relationship Id="rId3" Type="http://schemas.openxmlformats.org/officeDocument/2006/relationships/ctrlProp" Target="../ctrlProps/ctrlProp909.xml"/><Relationship Id="rId7" Type="http://schemas.openxmlformats.org/officeDocument/2006/relationships/ctrlProp" Target="../ctrlProps/ctrlProp913.xml"/><Relationship Id="rId2" Type="http://schemas.openxmlformats.org/officeDocument/2006/relationships/vmlDrawing" Target="../drawings/vmlDrawing36.vml"/><Relationship Id="rId1" Type="http://schemas.openxmlformats.org/officeDocument/2006/relationships/drawing" Target="../drawings/drawing36.xml"/><Relationship Id="rId6" Type="http://schemas.openxmlformats.org/officeDocument/2006/relationships/ctrlProp" Target="../ctrlProps/ctrlProp912.xml"/><Relationship Id="rId5" Type="http://schemas.openxmlformats.org/officeDocument/2006/relationships/ctrlProp" Target="../ctrlProps/ctrlProp911.xml"/><Relationship Id="rId4" Type="http://schemas.openxmlformats.org/officeDocument/2006/relationships/ctrlProp" Target="../ctrlProps/ctrlProp910.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920.xml"/><Relationship Id="rId3" Type="http://schemas.openxmlformats.org/officeDocument/2006/relationships/ctrlProp" Target="../ctrlProps/ctrlProp915.xml"/><Relationship Id="rId7" Type="http://schemas.openxmlformats.org/officeDocument/2006/relationships/ctrlProp" Target="../ctrlProps/ctrlProp919.xml"/><Relationship Id="rId2" Type="http://schemas.openxmlformats.org/officeDocument/2006/relationships/vmlDrawing" Target="../drawings/vmlDrawing37.vml"/><Relationship Id="rId1" Type="http://schemas.openxmlformats.org/officeDocument/2006/relationships/drawing" Target="../drawings/drawing37.xml"/><Relationship Id="rId6" Type="http://schemas.openxmlformats.org/officeDocument/2006/relationships/ctrlProp" Target="../ctrlProps/ctrlProp918.xml"/><Relationship Id="rId5" Type="http://schemas.openxmlformats.org/officeDocument/2006/relationships/ctrlProp" Target="../ctrlProps/ctrlProp917.xml"/><Relationship Id="rId4" Type="http://schemas.openxmlformats.org/officeDocument/2006/relationships/ctrlProp" Target="../ctrlProps/ctrlProp916.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1.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7.vml"/><Relationship Id="rId7" Type="http://schemas.openxmlformats.org/officeDocument/2006/relationships/ctrlProp" Target="../ctrlProps/ctrlProp25.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3C0C6-66BD-44F8-941D-0E330E495A6D}">
  <dimension ref="A1:O40"/>
  <sheetViews>
    <sheetView showGridLines="0" tabSelected="1" zoomScaleNormal="100" workbookViewId="0">
      <selection activeCell="B9" sqref="B9"/>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421" t="s">
        <v>0</v>
      </c>
      <c r="B1" s="422"/>
      <c r="C1" s="422"/>
      <c r="D1" s="422"/>
      <c r="E1" s="422"/>
      <c r="F1" s="422"/>
      <c r="G1" s="1"/>
      <c r="H1" s="1"/>
      <c r="I1" s="1"/>
      <c r="J1" s="1"/>
      <c r="K1" s="1"/>
      <c r="L1" s="1"/>
      <c r="M1" s="1"/>
      <c r="N1" s="1"/>
      <c r="O1" s="1"/>
    </row>
    <row r="2" spans="1:15" x14ac:dyDescent="0.2">
      <c r="A2" s="423" t="s">
        <v>1</v>
      </c>
      <c r="B2" s="424"/>
      <c r="C2" s="424"/>
      <c r="D2" s="424"/>
      <c r="E2" s="424"/>
      <c r="F2" s="424"/>
      <c r="G2" s="1" t="s">
        <v>2</v>
      </c>
      <c r="H2" s="1"/>
      <c r="I2" s="1"/>
      <c r="J2" s="1"/>
      <c r="K2" s="1"/>
      <c r="L2" s="1"/>
      <c r="M2" s="1" t="s">
        <v>2</v>
      </c>
      <c r="N2" s="1" t="s">
        <v>2</v>
      </c>
      <c r="O2" s="1" t="s">
        <v>2</v>
      </c>
    </row>
    <row r="3" spans="1:15" x14ac:dyDescent="0.2">
      <c r="A3" s="425" t="s">
        <v>3</v>
      </c>
      <c r="B3" s="425"/>
      <c r="C3" s="425"/>
      <c r="D3" s="425"/>
      <c r="E3" s="425"/>
      <c r="F3" s="425"/>
    </row>
    <row r="4" spans="1:15" x14ac:dyDescent="0.2">
      <c r="A4" s="2"/>
      <c r="B4" s="2"/>
      <c r="C4" s="2"/>
      <c r="D4" s="2"/>
      <c r="E4" s="2"/>
      <c r="F4" s="2"/>
    </row>
    <row r="5" spans="1:15" ht="65.25" customHeight="1" x14ac:dyDescent="0.2">
      <c r="A5" s="426" t="s">
        <v>4</v>
      </c>
      <c r="B5" s="426"/>
      <c r="C5" s="426"/>
      <c r="D5" s="426"/>
      <c r="E5" s="426"/>
      <c r="F5" s="426"/>
    </row>
    <row r="6" spans="1:15" x14ac:dyDescent="0.2">
      <c r="A6" s="2"/>
      <c r="B6" s="2"/>
      <c r="C6" s="2"/>
      <c r="D6" s="2"/>
      <c r="E6" s="2"/>
      <c r="F6" s="3"/>
      <c r="O6" t="s">
        <v>2</v>
      </c>
    </row>
    <row r="7" spans="1:15" x14ac:dyDescent="0.2">
      <c r="A7" s="2" t="s">
        <v>5</v>
      </c>
      <c r="B7" s="427"/>
      <c r="C7" s="428"/>
      <c r="D7" s="428"/>
      <c r="E7" s="429"/>
      <c r="F7" s="3"/>
      <c r="G7" s="4"/>
      <c r="H7" s="4"/>
      <c r="I7" s="4"/>
      <c r="J7" s="4"/>
      <c r="K7" s="4"/>
      <c r="L7" s="4"/>
    </row>
    <row r="8" spans="1:15" x14ac:dyDescent="0.2">
      <c r="A8" s="5" t="s">
        <v>6</v>
      </c>
      <c r="B8" s="430"/>
      <c r="C8" s="430"/>
      <c r="D8" s="6"/>
      <c r="E8" s="6"/>
      <c r="F8" s="6"/>
      <c r="G8" s="4"/>
      <c r="H8" s="4"/>
      <c r="I8" s="4"/>
      <c r="J8" s="4"/>
      <c r="K8" s="4"/>
      <c r="L8" s="4"/>
    </row>
    <row r="9" spans="1:15" x14ac:dyDescent="0.2">
      <c r="A9" s="5" t="s">
        <v>7</v>
      </c>
      <c r="B9" s="7">
        <v>2</v>
      </c>
      <c r="C9" s="7">
        <v>2026</v>
      </c>
      <c r="D9" s="6"/>
      <c r="E9" s="6"/>
      <c r="F9" s="6"/>
    </row>
    <row r="10" spans="1:15" x14ac:dyDescent="0.2">
      <c r="A10" s="5"/>
      <c r="B10" s="6"/>
      <c r="C10" s="6"/>
      <c r="D10" s="6"/>
      <c r="E10" s="6"/>
      <c r="F10" s="6"/>
    </row>
    <row r="11" spans="1:15" x14ac:dyDescent="0.2">
      <c r="A11" s="2"/>
      <c r="B11" s="8" t="s">
        <v>8</v>
      </c>
      <c r="C11" s="9" t="s">
        <v>9</v>
      </c>
      <c r="D11" s="10"/>
      <c r="E11" s="11"/>
      <c r="F11" s="6"/>
    </row>
    <row r="12" spans="1:15" x14ac:dyDescent="0.2">
      <c r="A12" s="2" t="s">
        <v>10</v>
      </c>
      <c r="B12" s="417" t="s">
        <v>11</v>
      </c>
      <c r="C12" s="418"/>
      <c r="D12" s="418"/>
      <c r="E12" s="418"/>
      <c r="F12" s="419"/>
    </row>
    <row r="13" spans="1:15" x14ac:dyDescent="0.2">
      <c r="A13" s="2"/>
      <c r="B13" s="2"/>
      <c r="C13" s="2"/>
      <c r="D13" s="2"/>
      <c r="E13" s="2"/>
      <c r="F13" s="2"/>
    </row>
    <row r="14" spans="1:15" x14ac:dyDescent="0.2">
      <c r="A14" s="2"/>
      <c r="B14" s="2"/>
      <c r="C14" s="2"/>
      <c r="D14" s="2"/>
      <c r="E14" s="2"/>
      <c r="F14" s="6"/>
    </row>
    <row r="15" spans="1:15" x14ac:dyDescent="0.2">
      <c r="A15" s="5" t="s">
        <v>12</v>
      </c>
      <c r="B15" s="12"/>
      <c r="C15" s="13" t="s">
        <v>13</v>
      </c>
      <c r="D15" s="3"/>
      <c r="E15" s="14"/>
      <c r="F15" s="3" t="s">
        <v>2</v>
      </c>
    </row>
    <row r="16" spans="1:15" x14ac:dyDescent="0.2">
      <c r="A16" s="5" t="s">
        <v>14</v>
      </c>
      <c r="B16" s="12"/>
      <c r="C16" s="13" t="s">
        <v>13</v>
      </c>
      <c r="D16" s="15"/>
      <c r="E16" s="16">
        <v>3</v>
      </c>
      <c r="F16" s="14" t="s">
        <v>2</v>
      </c>
      <c r="G16" s="17"/>
      <c r="H16" s="17"/>
      <c r="I16" s="17"/>
      <c r="J16" s="17"/>
      <c r="K16" s="17"/>
      <c r="L16" s="17"/>
    </row>
    <row r="17" spans="1:13" x14ac:dyDescent="0.2">
      <c r="A17" s="2" t="s">
        <v>15</v>
      </c>
      <c r="B17" s="18"/>
      <c r="C17" s="13" t="s">
        <v>13</v>
      </c>
      <c r="D17" s="15"/>
      <c r="E17" s="16">
        <v>1</v>
      </c>
      <c r="F17" s="14" t="s">
        <v>2</v>
      </c>
      <c r="G17" s="17"/>
      <c r="H17" s="17"/>
      <c r="I17" s="17"/>
      <c r="J17" s="17"/>
      <c r="K17" s="17"/>
      <c r="L17" s="17"/>
    </row>
    <row r="18" spans="1:13" x14ac:dyDescent="0.2">
      <c r="A18" s="2"/>
      <c r="B18" s="14"/>
      <c r="C18" s="14"/>
      <c r="D18" s="14"/>
      <c r="E18" s="16">
        <v>2</v>
      </c>
      <c r="F18" s="14" t="s">
        <v>2</v>
      </c>
      <c r="G18" s="17"/>
      <c r="H18" s="17"/>
      <c r="I18" s="17"/>
      <c r="J18" s="17"/>
      <c r="K18" s="17"/>
      <c r="L18" s="17"/>
    </row>
    <row r="19" spans="1:13" x14ac:dyDescent="0.2">
      <c r="A19" s="2" t="s">
        <v>16</v>
      </c>
      <c r="B19" s="19"/>
      <c r="C19" s="14"/>
      <c r="D19" s="14"/>
      <c r="E19" s="20">
        <f>IF(E17=1,1,IF(E17=2,0.98,1.01))</f>
        <v>1</v>
      </c>
      <c r="F19" s="21"/>
      <c r="G19" s="17"/>
      <c r="H19" s="17"/>
      <c r="I19" s="17"/>
      <c r="J19" s="17"/>
      <c r="K19" s="17"/>
      <c r="L19" s="17"/>
    </row>
    <row r="20" spans="1:13" x14ac:dyDescent="0.2">
      <c r="A20" s="2" t="s">
        <v>17</v>
      </c>
      <c r="B20" s="19"/>
      <c r="C20" s="14"/>
      <c r="D20" s="14"/>
      <c r="E20" s="16"/>
      <c r="F20" s="14"/>
      <c r="G20" s="17"/>
      <c r="H20" s="17"/>
      <c r="I20" s="17"/>
      <c r="J20" s="17"/>
      <c r="K20" s="17"/>
      <c r="L20" s="17"/>
    </row>
    <row r="21" spans="1:13" x14ac:dyDescent="0.2">
      <c r="A21" s="2"/>
      <c r="B21" s="14"/>
      <c r="C21" s="14"/>
      <c r="D21" s="14"/>
      <c r="E21" s="16"/>
      <c r="F21" s="14"/>
      <c r="G21" s="17"/>
      <c r="H21" s="17"/>
      <c r="I21" s="17"/>
      <c r="J21" s="17"/>
      <c r="K21" s="17"/>
      <c r="L21" s="17"/>
    </row>
    <row r="22" spans="1:13" x14ac:dyDescent="0.2">
      <c r="A22" s="2" t="s">
        <v>18</v>
      </c>
      <c r="B22" s="12"/>
      <c r="C22" s="22" t="s">
        <v>19</v>
      </c>
      <c r="D22" s="14"/>
      <c r="E22" s="16"/>
      <c r="F22" s="14"/>
      <c r="G22" s="17"/>
      <c r="H22" s="17"/>
      <c r="I22" s="17"/>
      <c r="J22" s="17"/>
      <c r="K22" s="17"/>
      <c r="L22" s="17"/>
    </row>
    <row r="23" spans="1:13" x14ac:dyDescent="0.2">
      <c r="A23" s="2" t="s">
        <v>20</v>
      </c>
      <c r="B23" s="12"/>
      <c r="C23" s="22" t="s">
        <v>19</v>
      </c>
      <c r="D23" s="14"/>
      <c r="E23" s="16"/>
      <c r="F23" s="14"/>
      <c r="G23" s="17"/>
      <c r="H23" s="17"/>
      <c r="I23" s="17"/>
      <c r="J23" s="17"/>
      <c r="K23" s="17"/>
      <c r="L23" s="17"/>
    </row>
    <row r="24" spans="1:13" x14ac:dyDescent="0.2">
      <c r="A24" s="5" t="s">
        <v>21</v>
      </c>
      <c r="B24" s="12"/>
      <c r="C24" s="22" t="s">
        <v>19</v>
      </c>
      <c r="D24" s="22"/>
      <c r="E24" s="16"/>
      <c r="F24" s="14"/>
      <c r="G24" s="17"/>
      <c r="H24" s="17"/>
      <c r="I24" s="17"/>
      <c r="J24" s="17"/>
      <c r="K24" s="17"/>
      <c r="L24" s="17"/>
    </row>
    <row r="25" spans="1:13" x14ac:dyDescent="0.2">
      <c r="A25" s="2"/>
      <c r="B25" s="14"/>
      <c r="C25" s="14"/>
      <c r="D25" s="22"/>
      <c r="E25" s="5" t="s">
        <v>2</v>
      </c>
      <c r="F25" s="5"/>
      <c r="G25" s="17"/>
      <c r="H25" s="17"/>
      <c r="I25" s="17"/>
      <c r="J25" s="17"/>
      <c r="K25" s="17"/>
      <c r="L25" s="17"/>
      <c r="M25" s="23"/>
    </row>
    <row r="26" spans="1:13" x14ac:dyDescent="0.2">
      <c r="A26" s="2"/>
      <c r="B26" s="14"/>
      <c r="C26" s="14"/>
      <c r="D26" s="22"/>
      <c r="E26" s="24"/>
      <c r="F26" s="5"/>
    </row>
    <row r="27" spans="1:13" x14ac:dyDescent="0.2">
      <c r="A27" s="2" t="s">
        <v>22</v>
      </c>
      <c r="B27" s="25"/>
      <c r="C27" s="22" t="s">
        <v>23</v>
      </c>
      <c r="D27" s="22"/>
      <c r="E27" s="26"/>
      <c r="F27" s="27"/>
      <c r="G27" s="17"/>
      <c r="H27" s="17"/>
      <c r="I27" s="17"/>
      <c r="J27" s="17"/>
      <c r="K27" s="17"/>
      <c r="L27" s="17"/>
    </row>
    <row r="28" spans="1:13" x14ac:dyDescent="0.2">
      <c r="A28" s="2" t="s">
        <v>24</v>
      </c>
      <c r="B28" s="25"/>
      <c r="C28" s="22" t="s">
        <v>25</v>
      </c>
      <c r="D28" s="22"/>
      <c r="E28" s="5"/>
      <c r="F28" s="14" t="s">
        <v>2</v>
      </c>
      <c r="G28" s="17"/>
      <c r="H28" s="17"/>
      <c r="I28" s="17"/>
      <c r="J28" s="17"/>
      <c r="K28" s="17"/>
      <c r="L28" s="17"/>
    </row>
    <row r="29" spans="1:13" x14ac:dyDescent="0.2">
      <c r="A29" s="2"/>
      <c r="B29" s="14"/>
      <c r="C29" s="14"/>
      <c r="D29" s="22"/>
      <c r="E29" s="5"/>
      <c r="F29" s="14" t="s">
        <v>2</v>
      </c>
      <c r="G29" s="17"/>
      <c r="H29" s="17"/>
      <c r="I29" s="17"/>
      <c r="J29" s="17"/>
      <c r="K29" s="17"/>
      <c r="L29" s="17"/>
    </row>
    <row r="30" spans="1:13" x14ac:dyDescent="0.2">
      <c r="A30" s="2" t="s">
        <v>26</v>
      </c>
      <c r="B30" s="28"/>
      <c r="C30" s="29" t="s">
        <v>27</v>
      </c>
      <c r="D30" s="30">
        <f>IF(ISNUMBER(B30),B30,IF(ISNUMBER(B28),(IF(ABS(B22+B23)&gt;0,ROUND(COS(ATAN(B28/(B22+B23))),3),1)),1))</f>
        <v>1</v>
      </c>
      <c r="E30" s="5"/>
      <c r="F30" s="14" t="s">
        <v>2</v>
      </c>
      <c r="G30" s="17"/>
      <c r="H30" s="17"/>
      <c r="I30" s="17"/>
      <c r="J30" s="17"/>
      <c r="K30" s="17"/>
      <c r="L30" s="17"/>
    </row>
    <row r="31" spans="1:13" x14ac:dyDescent="0.2">
      <c r="A31" s="2"/>
      <c r="B31" s="14"/>
      <c r="C31" s="14"/>
      <c r="D31" s="31">
        <f>IF(D30&lt;&gt;0,SIGN(D30)*ROUND(1/D30,3),0)</f>
        <v>1</v>
      </c>
      <c r="E31" s="2"/>
      <c r="F31" s="21"/>
      <c r="G31" s="17"/>
      <c r="H31" s="17"/>
      <c r="I31" s="17"/>
      <c r="J31" s="17"/>
      <c r="K31" s="17"/>
      <c r="L31" s="17"/>
    </row>
    <row r="32" spans="1:13" ht="12" customHeight="1" x14ac:dyDescent="0.2">
      <c r="A32" s="32"/>
      <c r="B32" s="33"/>
      <c r="C32" s="34"/>
      <c r="D32" s="35"/>
      <c r="E32" s="2" t="s">
        <v>2</v>
      </c>
      <c r="F32" s="5"/>
      <c r="G32" s="17"/>
      <c r="H32" s="17"/>
      <c r="I32" s="17"/>
      <c r="J32" s="17"/>
      <c r="K32" s="17"/>
      <c r="L32" s="17"/>
    </row>
    <row r="33" spans="1:6" ht="12.75" customHeight="1" x14ac:dyDescent="0.2">
      <c r="A33" s="36" t="s">
        <v>28</v>
      </c>
      <c r="B33" s="33"/>
      <c r="C33" s="34" t="b">
        <v>0</v>
      </c>
      <c r="D33" s="35"/>
      <c r="E33" s="5"/>
      <c r="F33" s="5"/>
    </row>
    <row r="34" spans="1:6" ht="12" customHeight="1" x14ac:dyDescent="0.2">
      <c r="A34" s="36" t="s">
        <v>29</v>
      </c>
      <c r="B34" s="37"/>
      <c r="C34" s="34" t="b">
        <v>0</v>
      </c>
      <c r="D34" s="35"/>
      <c r="E34" s="5"/>
      <c r="F34" s="5"/>
    </row>
    <row r="35" spans="1:6" x14ac:dyDescent="0.2">
      <c r="A35" s="38" t="s">
        <v>30</v>
      </c>
      <c r="B35" s="37"/>
      <c r="C35" s="39" t="b">
        <v>0</v>
      </c>
      <c r="D35" s="40"/>
      <c r="E35" s="2"/>
      <c r="F35" s="5"/>
    </row>
    <row r="36" spans="1:6" ht="12" customHeight="1" x14ac:dyDescent="0.2">
      <c r="A36" s="36"/>
      <c r="B36" s="41"/>
      <c r="C36" s="40"/>
      <c r="D36" s="40"/>
      <c r="E36" s="2"/>
      <c r="F36" s="5"/>
    </row>
    <row r="37" spans="1:6" x14ac:dyDescent="0.2">
      <c r="A37" s="420" t="s">
        <v>31</v>
      </c>
      <c r="B37" s="420"/>
      <c r="C37" s="420"/>
      <c r="D37" s="42"/>
      <c r="E37" s="5"/>
      <c r="F37" s="43" t="s">
        <v>319</v>
      </c>
    </row>
    <row r="38" spans="1:6" x14ac:dyDescent="0.2">
      <c r="A38" s="2"/>
      <c r="B38" s="2"/>
      <c r="C38" s="2"/>
      <c r="D38" s="2"/>
      <c r="E38" s="2"/>
      <c r="F38" s="43"/>
    </row>
    <row r="40" spans="1:6" x14ac:dyDescent="0.2">
      <c r="B40" s="44"/>
    </row>
  </sheetData>
  <sheetProtection algorithmName="SHA-512" hashValue="X7K0xRofubwqk2rgzy8P3yVG7RaZ1RSz/aUKSqtUXFb8EGAQEexQ3ro1Nw2Vwh7rjpkkX07Xj988gDO+ZlG29Q==" saltValue="KeSDR6NQIx/fJaEmYQUwkA==" spinCount="100000" sheet="1" selectLockedCells="1"/>
  <mergeCells count="8">
    <mergeCell ref="B12:F12"/>
    <mergeCell ref="A37:C37"/>
    <mergeCell ref="A1:F1"/>
    <mergeCell ref="A2:F2"/>
    <mergeCell ref="A3:F3"/>
    <mergeCell ref="A5:F5"/>
    <mergeCell ref="B7:E7"/>
    <mergeCell ref="B8:C8"/>
  </mergeCells>
  <dataValidations count="1">
    <dataValidation type="custom" allowBlank="1" showInputMessage="1" showErrorMessage="1" errorTitle="Shopping Customer" error="Only customers who indicate that they elect to receive generation from a 3rd party supplier will enter a value in this cell. " sqref="B10" xr:uid="{5EF93CA1-7625-4988-9EFF-EDE0F825BBD8}">
      <formula1>#REF!="Yes"</formula1>
    </dataValidation>
  </dataValidations>
  <hyperlinks>
    <hyperlink ref="M14:N14" location="'Bundled GS-2 Subtran-Trans'!A1" display="GS-2 Sub Bundled" xr:uid="{0A87A7D0-AA68-444B-979A-67CEC13BFE76}"/>
    <hyperlink ref="M24:N24" location="'Bundled GS-3 Subtran-Trans'!A1" display="GS-3 Subtrans/Trans Bundled" xr:uid="{5B3B9B19-477C-45F7-8CDD-75D783B3FAFF}"/>
    <hyperlink ref="G26:M26" location="'Bundled GS-4 Pri'!A1" display="GS-4 Pri Bundled" xr:uid="{9961E6A1-FFBD-40F5-9389-9055D527CE3F}"/>
    <hyperlink ref="M18:N18" location="'Bundled GS-3 Pri'!A1" display="GS-3 Pri Bundled" xr:uid="{E20FC8B6-43DA-4E1B-9156-5F5C53F8B51E}"/>
    <hyperlink ref="M17:N17" location="'Bundled GS-3 Sec'!A1" display="GS-3 Sec Bundled" xr:uid="{F37FE06C-9BDD-4117-9C39-7C1A84C68B52}"/>
    <hyperlink ref="M16:N16" location="'Bundled GS-TOD Sec'!Print_Area" display="GS-TOD Bundled" xr:uid="{8BF1A4A2-9C2A-45E6-8AD8-CBB71406A2D3}"/>
    <hyperlink ref="M12:N12" location="'Bundled GS-2 Pri'!A1" display="GS-2 Pri Bundled" xr:uid="{0CE55DEE-CC86-4855-AE1D-5722BE0098AF}"/>
    <hyperlink ref="M11:N11" location="'Bundled GS-2 Sec'!A1" display="GS-2 Sec Bundled" xr:uid="{31F7AFD5-5BC1-4F63-BD28-AB86762EB949}"/>
    <hyperlink ref="M9:N9" location="'Bundled GS-1 Sec'!A1" display="GS-1 Bundled" xr:uid="{0462099E-A89C-414F-9985-C22A4A1DA308}"/>
    <hyperlink ref="M8:N8" location="'Bundled RS-TOD Sec'!A1" display="RS-TOD Bundled" xr:uid="{B7BF2610-1AAD-4618-B975-476062A2BB21}"/>
    <hyperlink ref="M7:N7" location="'Bundled RS Sec'!A1" display="RS Bundled" xr:uid="{E2CDA789-AD17-46FB-8677-3E6A15518FBD}"/>
  </hyperlinks>
  <printOptions horizontalCentered="1" headings="1" gridLines="1"/>
  <pageMargins left="0.5" right="0.5" top="0.5" bottom="0.5" header="0.25" footer="0.25"/>
  <pageSetup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9525</xdr:colOff>
                    <xdr:row>31</xdr:row>
                    <xdr:rowOff>104775</xdr:rowOff>
                  </from>
                  <to>
                    <xdr:col>1</xdr:col>
                    <xdr:colOff>457200</xdr:colOff>
                    <xdr:row>33</xdr:row>
                    <xdr:rowOff>28575</xdr:rowOff>
                  </to>
                </anchor>
              </controlPr>
            </control>
          </mc:Choice>
        </mc:AlternateContent>
        <mc:AlternateContent xmlns:mc="http://schemas.openxmlformats.org/markup-compatibility/2006">
          <mc:Choice Requires="x14">
            <control shapeId="1026" r:id="rId5" name="Option Button 2">
              <controlPr defaultSize="0" autoFill="0" autoLine="0" autoPict="0" macro="[0]!OptionButton18_Click">
                <anchor moveWithCells="1">
                  <from>
                    <xdr:col>4</xdr:col>
                    <xdr:colOff>304800</xdr:colOff>
                    <xdr:row>13</xdr:row>
                    <xdr:rowOff>104775</xdr:rowOff>
                  </from>
                  <to>
                    <xdr:col>5</xdr:col>
                    <xdr:colOff>676275</xdr:colOff>
                    <xdr:row>15</xdr:row>
                    <xdr:rowOff>28575</xdr:rowOff>
                  </to>
                </anchor>
              </controlPr>
            </control>
          </mc:Choice>
        </mc:AlternateContent>
        <mc:AlternateContent xmlns:mc="http://schemas.openxmlformats.org/markup-compatibility/2006">
          <mc:Choice Requires="x14">
            <control shapeId="1027" r:id="rId6" name="Option Button 3">
              <controlPr defaultSize="0" autoFill="0" autoLine="0" autoPict="0">
                <anchor moveWithCells="1">
                  <from>
                    <xdr:col>4</xdr:col>
                    <xdr:colOff>304800</xdr:colOff>
                    <xdr:row>15</xdr:row>
                    <xdr:rowOff>28575</xdr:rowOff>
                  </from>
                  <to>
                    <xdr:col>5</xdr:col>
                    <xdr:colOff>676275</xdr:colOff>
                    <xdr:row>16</xdr:row>
                    <xdr:rowOff>66675</xdr:rowOff>
                  </to>
                </anchor>
              </controlPr>
            </control>
          </mc:Choice>
        </mc:AlternateContent>
        <mc:AlternateContent xmlns:mc="http://schemas.openxmlformats.org/markup-compatibility/2006">
          <mc:Choice Requires="x14">
            <control shapeId="1028" r:id="rId7" name="Option Button 4">
              <controlPr defaultSize="0" autoFill="0" autoLine="0" autoPict="0">
                <anchor moveWithCells="1">
                  <from>
                    <xdr:col>4</xdr:col>
                    <xdr:colOff>304800</xdr:colOff>
                    <xdr:row>16</xdr:row>
                    <xdr:rowOff>66675</xdr:rowOff>
                  </from>
                  <to>
                    <xdr:col>5</xdr:col>
                    <xdr:colOff>676275</xdr:colOff>
                    <xdr:row>17</xdr:row>
                    <xdr:rowOff>104775</xdr:rowOff>
                  </to>
                </anchor>
              </controlPr>
            </control>
          </mc:Choice>
        </mc:AlternateContent>
        <mc:AlternateContent xmlns:mc="http://schemas.openxmlformats.org/markup-compatibility/2006">
          <mc:Choice Requires="x14">
            <control shapeId="1029" r:id="rId8" name="Group Box 5">
              <controlPr defaultSize="0" autoFill="0" autoPict="0">
                <anchor moveWithCells="1">
                  <from>
                    <xdr:col>4</xdr:col>
                    <xdr:colOff>304800</xdr:colOff>
                    <xdr:row>13</xdr:row>
                    <xdr:rowOff>66675</xdr:rowOff>
                  </from>
                  <to>
                    <xdr:col>5</xdr:col>
                    <xdr:colOff>676275</xdr:colOff>
                    <xdr:row>18</xdr:row>
                    <xdr:rowOff>9525</xdr:rowOff>
                  </to>
                </anchor>
              </controlPr>
            </control>
          </mc:Choice>
        </mc:AlternateContent>
        <mc:AlternateContent xmlns:mc="http://schemas.openxmlformats.org/markup-compatibility/2006">
          <mc:Choice Requires="x14">
            <control shapeId="1030" r:id="rId9" name="Check Box 6">
              <controlPr defaultSize="0" autoFill="0" autoLine="0" autoPict="0" macro="[0]!Info">
                <anchor moveWithCells="1">
                  <from>
                    <xdr:col>1</xdr:col>
                    <xdr:colOff>9525</xdr:colOff>
                    <xdr:row>32</xdr:row>
                    <xdr:rowOff>66675</xdr:rowOff>
                  </from>
                  <to>
                    <xdr:col>2</xdr:col>
                    <xdr:colOff>104775</xdr:colOff>
                    <xdr:row>34</xdr:row>
                    <xdr:rowOff>47625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9525</xdr:colOff>
                    <xdr:row>33</xdr:row>
                    <xdr:rowOff>85725</xdr:rowOff>
                  </from>
                  <to>
                    <xdr:col>1</xdr:col>
                    <xdr:colOff>600075</xdr:colOff>
                    <xdr:row>35</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7DC38-CD71-4E29-8C8A-484F16B4EB4C}">
  <dimension ref="A1:IB64"/>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48" t="s">
        <v>50</v>
      </c>
      <c r="B1" s="448"/>
      <c r="C1" s="448"/>
      <c r="D1" s="448"/>
      <c r="E1" s="448"/>
      <c r="F1" s="448"/>
      <c r="G1" s="448"/>
      <c r="H1" s="448"/>
      <c r="I1" s="448"/>
      <c r="J1" s="448"/>
      <c r="K1" s="448"/>
      <c r="L1" s="448"/>
      <c r="M1" s="448"/>
      <c r="N1" s="448"/>
      <c r="O1" s="448"/>
      <c r="P1" s="448"/>
    </row>
    <row r="2" spans="1:30" ht="20.25" x14ac:dyDescent="0.3">
      <c r="A2" s="432" t="s">
        <v>138</v>
      </c>
      <c r="B2" s="432"/>
      <c r="C2" s="432"/>
      <c r="D2" s="432"/>
      <c r="E2" s="432"/>
      <c r="F2" s="432"/>
      <c r="G2" s="432"/>
      <c r="H2" s="432"/>
      <c r="I2" s="432"/>
      <c r="J2" s="432"/>
      <c r="K2" s="432"/>
      <c r="L2" s="432"/>
      <c r="M2" s="432"/>
      <c r="N2" s="432"/>
      <c r="O2" s="432"/>
      <c r="P2" s="432"/>
    </row>
    <row r="3" spans="1:30" ht="18" x14ac:dyDescent="0.25">
      <c r="A3" s="449" t="s">
        <v>163</v>
      </c>
      <c r="B3" s="449"/>
      <c r="C3" s="449"/>
      <c r="D3" s="449"/>
      <c r="E3" s="449"/>
      <c r="F3" s="449"/>
      <c r="G3" s="449"/>
      <c r="H3" s="449"/>
      <c r="I3" s="449"/>
      <c r="J3" s="449"/>
      <c r="K3" s="449"/>
      <c r="L3" s="449"/>
      <c r="M3" s="449"/>
      <c r="N3" s="449"/>
      <c r="O3" s="449"/>
      <c r="P3" s="449"/>
    </row>
    <row r="4" spans="1:30"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30" ht="15" x14ac:dyDescent="0.2">
      <c r="A5" s="55"/>
      <c r="B5" s="55"/>
      <c r="C5" s="55"/>
      <c r="D5" s="55"/>
      <c r="E5" s="55"/>
      <c r="F5" s="55"/>
      <c r="G5" s="55"/>
      <c r="H5" s="55"/>
      <c r="I5" s="55"/>
      <c r="J5" s="55"/>
      <c r="K5" s="55"/>
    </row>
    <row r="6" spans="1:30" x14ac:dyDescent="0.2">
      <c r="A6" s="56">
        <f ca="1">TODAY()</f>
        <v>46051</v>
      </c>
      <c r="B6" s="76" t="s">
        <v>164</v>
      </c>
      <c r="C6" s="56"/>
      <c r="D6" s="56"/>
      <c r="E6" s="56"/>
      <c r="F6" s="56"/>
      <c r="G6" s="56"/>
      <c r="H6" s="56"/>
      <c r="I6" s="56"/>
    </row>
    <row r="7" spans="1:30" ht="26.25" x14ac:dyDescent="0.4">
      <c r="A7" s="450"/>
      <c r="B7" s="450"/>
      <c r="C7" s="450"/>
      <c r="D7" s="450"/>
      <c r="E7" s="450"/>
      <c r="F7" s="450"/>
      <c r="G7" s="450"/>
      <c r="H7" s="450"/>
      <c r="I7" s="450"/>
      <c r="J7" s="450"/>
      <c r="K7" s="450"/>
      <c r="L7" s="450"/>
      <c r="M7" s="450"/>
      <c r="N7" s="450"/>
      <c r="O7" s="450"/>
      <c r="P7" s="450"/>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2</v>
      </c>
      <c r="C11" s="63" t="str">
        <f>LOOKUP(B11,R11:AD11,R12:AD12)</f>
        <v>February</v>
      </c>
      <c r="D11" s="64">
        <f>'Customer Info'!C9</f>
        <v>2026</v>
      </c>
      <c r="S11">
        <v>1</v>
      </c>
      <c r="T11">
        <v>2</v>
      </c>
      <c r="U11">
        <v>3</v>
      </c>
      <c r="V11">
        <v>4</v>
      </c>
      <c r="W11">
        <v>5</v>
      </c>
      <c r="X11">
        <v>6</v>
      </c>
      <c r="Y11">
        <v>7</v>
      </c>
      <c r="Z11">
        <v>8</v>
      </c>
      <c r="AA11">
        <v>9</v>
      </c>
      <c r="AB11">
        <v>10</v>
      </c>
      <c r="AC11">
        <v>11</v>
      </c>
      <c r="AD11">
        <v>12</v>
      </c>
    </row>
    <row r="12" spans="1:30" x14ac:dyDescent="0.2">
      <c r="A12" s="443"/>
      <c r="B12" s="443"/>
      <c r="C12" s="443"/>
      <c r="D12" s="443"/>
      <c r="E12" s="443"/>
      <c r="F12" s="443"/>
      <c r="G12" s="443"/>
      <c r="H12" s="443"/>
      <c r="I12" s="443"/>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c r="B16" s="158"/>
      <c r="C16" s="159"/>
      <c r="D16" s="158"/>
      <c r="E16" s="158"/>
      <c r="F16" s="160"/>
      <c r="G16" s="57" t="s">
        <v>2</v>
      </c>
      <c r="H16" s="158"/>
    </row>
    <row r="17" spans="1:221" x14ac:dyDescent="0.2">
      <c r="A17" s="158"/>
      <c r="B17" s="158"/>
      <c r="C17" s="160"/>
      <c r="D17" s="160"/>
      <c r="E17" s="160"/>
      <c r="F17" s="160"/>
      <c r="G17" s="57" t="s">
        <v>2</v>
      </c>
      <c r="H17" s="158"/>
      <c r="I17" s="188" t="s">
        <v>2</v>
      </c>
    </row>
    <row r="19" spans="1:221" x14ac:dyDescent="0.2">
      <c r="A19" s="162" t="s">
        <v>70</v>
      </c>
      <c r="B19" s="163"/>
      <c r="C19" s="163"/>
      <c r="D19" s="163"/>
      <c r="E19" s="163"/>
      <c r="F19" s="163"/>
      <c r="G19" s="444" t="s">
        <v>71</v>
      </c>
      <c r="H19" s="445"/>
      <c r="I19" s="445"/>
      <c r="J19" s="446"/>
      <c r="K19" s="163"/>
      <c r="L19" s="447" t="s">
        <v>72</v>
      </c>
      <c r="M19" s="447"/>
      <c r="N19" s="447"/>
      <c r="O19" s="447"/>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t="s">
        <v>165</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45627</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5.5215000000000004E-3</v>
      </c>
      <c r="J27" s="100">
        <f t="shared" ref="J27:J46" si="0">SUM(G27:I27)</f>
        <v>5.5215000000000004E-3</v>
      </c>
      <c r="K27" s="94" t="s">
        <v>85</v>
      </c>
      <c r="L27" s="89"/>
      <c r="M27" s="89"/>
      <c r="N27" s="89">
        <f t="shared" ref="N27:N32" si="1">ROUND(D27*I27,2)</f>
        <v>0</v>
      </c>
      <c r="O27" s="89">
        <f t="shared" ref="O27:O47" si="2">SUM(L27:N27)</f>
        <v>0</v>
      </c>
      <c r="P27" s="92">
        <f>'Rider Rates'!$D$4</f>
        <v>46022</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46022</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ref="O32:O38" si="3">SUM(L32:N32)</f>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3"/>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'Customer Info'!$B$22+'Customer Info'!$B$23-'Customer Info'!$B$24</f>
        <v>0</v>
      </c>
      <c r="E34" s="97" t="s">
        <v>19</v>
      </c>
      <c r="F34" s="84" t="s">
        <v>80</v>
      </c>
      <c r="G34" s="100">
        <f>'Rider Rates'!B22</f>
        <v>7.6880000000000004E-2</v>
      </c>
      <c r="H34" s="100"/>
      <c r="I34" s="100"/>
      <c r="J34" s="115">
        <f>SUM(G34:H34)</f>
        <v>7.6880000000000004E-2</v>
      </c>
      <c r="K34" s="94" t="s">
        <v>85</v>
      </c>
      <c r="L34" s="89">
        <f>ROUND(D34*G34,2)</f>
        <v>0</v>
      </c>
      <c r="M34" s="89"/>
      <c r="N34" s="89"/>
      <c r="O34" s="89">
        <f t="shared" si="3"/>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94</v>
      </c>
      <c r="B35" s="72"/>
      <c r="C35" s="72"/>
      <c r="D35" s="111">
        <f>'Customer Info'!$B$22+'Customer Info'!$B$23-'Customer Info'!$B$24</f>
        <v>0</v>
      </c>
      <c r="E35" s="97" t="s">
        <v>19</v>
      </c>
      <c r="F35" s="84" t="s">
        <v>80</v>
      </c>
      <c r="G35" s="100">
        <f>'Rider Rates'!$B$36</f>
        <v>1.8849999999999999E-2</v>
      </c>
      <c r="H35" s="100"/>
      <c r="I35" s="100"/>
      <c r="J35" s="115">
        <f>SUM(G35:H35)</f>
        <v>1.8849999999999999E-2</v>
      </c>
      <c r="K35" s="94" t="s">
        <v>85</v>
      </c>
      <c r="L35" s="89">
        <f>ROUND(D35*G35,2)</f>
        <v>0</v>
      </c>
      <c r="M35" s="89"/>
      <c r="N35" s="89"/>
      <c r="O35" s="89">
        <f t="shared" si="3"/>
        <v>0</v>
      </c>
      <c r="P35" s="92">
        <f>'Rider Rates'!$D$36</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95</v>
      </c>
      <c r="B36" s="72"/>
      <c r="C36" s="72"/>
      <c r="D36" s="111">
        <f>'Customer Info'!$B$22+'Customer Info'!$B$23-'Customer Info'!$B$24</f>
        <v>0</v>
      </c>
      <c r="E36" s="97" t="s">
        <v>19</v>
      </c>
      <c r="F36" s="84" t="s">
        <v>80</v>
      </c>
      <c r="G36" s="100">
        <f>'Rider Rates'!$B$49</f>
        <v>2.7588999999999999E-3</v>
      </c>
      <c r="H36" s="100"/>
      <c r="I36" s="100"/>
      <c r="J36" s="115">
        <f>SUM(G36:H36)</f>
        <v>2.7588999999999999E-3</v>
      </c>
      <c r="K36" s="94" t="s">
        <v>85</v>
      </c>
      <c r="L36" s="89">
        <f>ROUND(D36*G36,2)</f>
        <v>0</v>
      </c>
      <c r="M36" s="89"/>
      <c r="N36" s="89"/>
      <c r="O36" s="89">
        <f t="shared" si="3"/>
        <v>0</v>
      </c>
      <c r="P36" s="92">
        <f>'Rider Rates'!$D$49</f>
        <v>46022</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2" t="s">
        <v>96</v>
      </c>
      <c r="B37" s="72"/>
      <c r="C37" s="72"/>
      <c r="D37" s="111">
        <f>IF($C$15&lt;0,0,IF($C$15&gt;833000,833000,$C$15))</f>
        <v>0</v>
      </c>
      <c r="E37" s="97" t="s">
        <v>19</v>
      </c>
      <c r="F37" s="84" t="s">
        <v>80</v>
      </c>
      <c r="G37" s="100"/>
      <c r="H37" s="100"/>
      <c r="I37" s="100">
        <f>'Rider Rates'!D53</f>
        <v>0</v>
      </c>
      <c r="J37" s="100">
        <f>SUM(G37:I37)</f>
        <v>0</v>
      </c>
      <c r="K37" s="94" t="s">
        <v>85</v>
      </c>
      <c r="L37" s="89"/>
      <c r="M37" s="89"/>
      <c r="N37" s="89">
        <f>D37*J37</f>
        <v>0</v>
      </c>
      <c r="O37" s="89">
        <f t="shared" si="3"/>
        <v>0</v>
      </c>
      <c r="P37" s="92">
        <f>'Rider Rates'!E53</f>
        <v>45883</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97</v>
      </c>
      <c r="B38" s="72"/>
      <c r="C38" s="72"/>
      <c r="D38" s="111">
        <f>IF($C$15&lt;0,0,$C$15)</f>
        <v>0</v>
      </c>
      <c r="E38" s="97" t="s">
        <v>19</v>
      </c>
      <c r="F38" s="84" t="s">
        <v>80</v>
      </c>
      <c r="G38" s="100"/>
      <c r="H38" s="100">
        <f>'Rider Rates'!$B$58</f>
        <v>2.1561400000000001E-2</v>
      </c>
      <c r="I38" s="100"/>
      <c r="J38" s="100">
        <f>SUM(G38:I38)</f>
        <v>2.1561400000000001E-2</v>
      </c>
      <c r="K38" s="94" t="s">
        <v>85</v>
      </c>
      <c r="L38" s="89"/>
      <c r="M38" s="89">
        <f>ROUND(D38*H38,2)</f>
        <v>0</v>
      </c>
      <c r="N38" s="116"/>
      <c r="O38" s="89">
        <f t="shared" si="3"/>
        <v>0</v>
      </c>
      <c r="P38" s="92">
        <f>'Rider Rates'!$D$58</f>
        <v>45929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Info'!C35=TRUE,0,IF($C$15&lt;0,0,$C$15))</f>
        <v>0</v>
      </c>
      <c r="E39" s="97" t="s">
        <v>19</v>
      </c>
      <c r="F39" s="84" t="s">
        <v>80</v>
      </c>
      <c r="G39" s="100"/>
      <c r="H39" s="100"/>
      <c r="I39" s="100">
        <f>'Rider Rates'!$B$72+'Rider Rates'!$C$72</f>
        <v>0</v>
      </c>
      <c r="J39" s="100">
        <f t="shared" si="0"/>
        <v>0</v>
      </c>
      <c r="K39" s="94" t="s">
        <v>85</v>
      </c>
      <c r="L39" s="89"/>
      <c r="M39" s="89"/>
      <c r="N39" s="89">
        <f>ROUND($D$39*'Rider Rates'!$B$72,2)+ROUND($D$39*'Rider Rates'!$C$72,2)</f>
        <v>0</v>
      </c>
      <c r="O39" s="89">
        <f t="shared" si="2"/>
        <v>0</v>
      </c>
      <c r="P39" s="92">
        <f>'Rider Rates'!$D$72</f>
        <v>44531</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c r="E40" s="97" t="s">
        <v>55</v>
      </c>
      <c r="F40" s="84"/>
      <c r="G40" s="100"/>
      <c r="H40" s="100"/>
      <c r="I40" s="121">
        <f>'Rider Rates'!$B$79</f>
        <v>0</v>
      </c>
      <c r="J40" s="121">
        <f>IF('Customer Info'!C35=TRUE,0,SUM(G40:I40))</f>
        <v>0</v>
      </c>
      <c r="K40" s="94"/>
      <c r="L40" s="89"/>
      <c r="M40" s="89"/>
      <c r="N40" s="89">
        <f>J40</f>
        <v>0</v>
      </c>
      <c r="O40" s="89">
        <f>SUM(L40:N40)</f>
        <v>0</v>
      </c>
      <c r="P40" s="92">
        <f>'Rider Rates'!$D$79</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100</v>
      </c>
      <c r="B41" s="72"/>
      <c r="C41" s="72"/>
      <c r="D41" s="113">
        <f>$N$23</f>
        <v>9.4</v>
      </c>
      <c r="E41" s="97" t="s">
        <v>92</v>
      </c>
      <c r="F41" s="84" t="s">
        <v>80</v>
      </c>
      <c r="G41" s="117"/>
      <c r="H41" s="118"/>
      <c r="I41" s="119">
        <f>'Rider Rates'!$B$87</f>
        <v>3.5344300000000002E-2</v>
      </c>
      <c r="J41" s="119">
        <f t="shared" si="0"/>
        <v>3.5344300000000002E-2</v>
      </c>
      <c r="K41" s="94"/>
      <c r="L41" s="89"/>
      <c r="M41" s="89"/>
      <c r="N41" s="89">
        <f>ROUND(D41*I41,2)</f>
        <v>0.33</v>
      </c>
      <c r="O41" s="89">
        <f t="shared" si="2"/>
        <v>0.33</v>
      </c>
      <c r="P41" s="92">
        <f>'Rider Rates'!$D$87</f>
        <v>45929</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101</v>
      </c>
      <c r="B42" s="72"/>
      <c r="C42" s="72"/>
      <c r="D42" s="113">
        <f>$N$23</f>
        <v>9.4</v>
      </c>
      <c r="E42" s="97" t="s">
        <v>92</v>
      </c>
      <c r="F42" s="84" t="s">
        <v>80</v>
      </c>
      <c r="G42" s="120"/>
      <c r="H42" s="85"/>
      <c r="I42" s="119">
        <f>'Rider Rates'!$B$89</f>
        <v>7.8822199999999995E-2</v>
      </c>
      <c r="J42" s="119">
        <f t="shared" si="0"/>
        <v>7.8822199999999995E-2</v>
      </c>
      <c r="K42" s="94"/>
      <c r="L42" s="89"/>
      <c r="M42" s="89"/>
      <c r="N42" s="89">
        <f>ROUND(D42*I42,2)</f>
        <v>0.74</v>
      </c>
      <c r="O42" s="89">
        <f t="shared" si="2"/>
        <v>0.74</v>
      </c>
      <c r="P42" s="92">
        <f>'Rider Rates'!$D$89</f>
        <v>45987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102</v>
      </c>
      <c r="B43" s="72"/>
      <c r="C43" s="72"/>
      <c r="D43" s="113"/>
      <c r="E43" s="97" t="s">
        <v>55</v>
      </c>
      <c r="F43" s="84"/>
      <c r="G43" s="120"/>
      <c r="H43" s="85"/>
      <c r="I43" s="121">
        <f>'Rider Rates'!$B$93</f>
        <v>21.84</v>
      </c>
      <c r="J43" s="121">
        <f t="shared" si="0"/>
        <v>21.84</v>
      </c>
      <c r="K43" s="94"/>
      <c r="L43" s="89"/>
      <c r="M43" s="89"/>
      <c r="N43" s="89">
        <f>I43</f>
        <v>21.84</v>
      </c>
      <c r="O43" s="89">
        <f t="shared" si="2"/>
        <v>21.84</v>
      </c>
      <c r="P43" s="92">
        <f>'Rider Rates'!$D$93</f>
        <v>46022</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103</v>
      </c>
      <c r="B44" s="72"/>
      <c r="C44" s="72"/>
      <c r="D44" s="111">
        <f>IF($C$15&lt;0,0,$C$15)</f>
        <v>0</v>
      </c>
      <c r="E44" s="97" t="s">
        <v>19</v>
      </c>
      <c r="F44" s="84" t="s">
        <v>80</v>
      </c>
      <c r="G44" s="100"/>
      <c r="H44" s="100"/>
      <c r="I44" s="100"/>
      <c r="J44" s="100">
        <f>'Rider Rates'!$B$97</f>
        <v>0</v>
      </c>
      <c r="K44" s="94" t="s">
        <v>85</v>
      </c>
      <c r="L44" s="89"/>
      <c r="M44" s="89"/>
      <c r="N44" s="89"/>
      <c r="O44" s="89">
        <f>ROUND($D44*('Rider Rates'!B$97),2)</f>
        <v>0</v>
      </c>
      <c r="P44" s="92">
        <f>'Rider Rates'!$D$97</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104</v>
      </c>
      <c r="B45" s="72"/>
      <c r="C45" s="72"/>
      <c r="D45" s="113">
        <f>$N$23</f>
        <v>9.4</v>
      </c>
      <c r="E45" s="97" t="s">
        <v>92</v>
      </c>
      <c r="F45" s="84" t="s">
        <v>80</v>
      </c>
      <c r="G45" s="120"/>
      <c r="H45" s="85"/>
      <c r="I45" s="119">
        <f>'Rider Rates'!$B$107</f>
        <v>0.24079249999999999</v>
      </c>
      <c r="J45" s="119">
        <f t="shared" si="0"/>
        <v>0.24079249999999999</v>
      </c>
      <c r="K45" s="94"/>
      <c r="L45" s="89"/>
      <c r="M45" s="89"/>
      <c r="N45" s="89">
        <f>ROUND(D45*I45,2)</f>
        <v>2.2599999999999998</v>
      </c>
      <c r="O45" s="89">
        <f t="shared" si="2"/>
        <v>2.2599999999999998</v>
      </c>
      <c r="P45" s="92">
        <f>'Rider Rates'!$D$107</f>
        <v>45987</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105</v>
      </c>
      <c r="B46" s="72"/>
      <c r="C46" s="72"/>
      <c r="D46" s="113"/>
      <c r="E46" s="97" t="s">
        <v>55</v>
      </c>
      <c r="F46" s="84"/>
      <c r="G46" s="120"/>
      <c r="H46" s="85"/>
      <c r="I46" s="123">
        <f>'Rider Rates'!B123</f>
        <v>0.99</v>
      </c>
      <c r="J46" s="121">
        <f t="shared" si="0"/>
        <v>0.99</v>
      </c>
      <c r="K46" s="94"/>
      <c r="L46" s="89"/>
      <c r="M46" s="89"/>
      <c r="N46" s="125">
        <f>I46</f>
        <v>0.99</v>
      </c>
      <c r="O46" s="89">
        <f t="shared" si="2"/>
        <v>0.99</v>
      </c>
      <c r="P46" s="92">
        <f>'Rider Rates'!D123</f>
        <v>45958</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106</v>
      </c>
      <c r="B47" s="72"/>
      <c r="C47" s="72"/>
      <c r="D47" s="111">
        <f>'Customer Info'!$B$22+'Customer Info'!$B$23-'Customer Info'!$B$24</f>
        <v>0</v>
      </c>
      <c r="E47" s="97" t="s">
        <v>19</v>
      </c>
      <c r="F47" s="84" t="s">
        <v>80</v>
      </c>
      <c r="G47" s="100">
        <f>'Rider Rates'!$B$113</f>
        <v>3.8972999999999998E-3</v>
      </c>
      <c r="H47" s="100"/>
      <c r="I47" s="119"/>
      <c r="J47" s="115">
        <f>SUM(G47:H47)</f>
        <v>3.8972999999999998E-3</v>
      </c>
      <c r="K47" s="94" t="s">
        <v>85</v>
      </c>
      <c r="L47" s="89">
        <f>ROUND(D47*G47,2)</f>
        <v>0</v>
      </c>
      <c r="M47" s="89"/>
      <c r="N47" s="89"/>
      <c r="O47" s="89">
        <f t="shared" si="2"/>
        <v>0</v>
      </c>
      <c r="P47" s="92">
        <f>'Rider Rates'!$D$113</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107</v>
      </c>
      <c r="B48" s="72"/>
      <c r="C48" s="72"/>
      <c r="D48" s="111">
        <f>IF($C$15&lt;1,0,$C$15)</f>
        <v>0</v>
      </c>
      <c r="E48" s="97" t="s">
        <v>19</v>
      </c>
      <c r="F48" s="126" t="s">
        <v>80</v>
      </c>
      <c r="G48" s="99"/>
      <c r="H48" s="99"/>
      <c r="I48" s="183">
        <f>'Rider Rates'!B119</f>
        <v>0</v>
      </c>
      <c r="J48" s="183">
        <f>SUM(G48:I48)</f>
        <v>0</v>
      </c>
      <c r="K48" s="94" t="s">
        <v>85</v>
      </c>
      <c r="L48" s="89"/>
      <c r="M48" s="89"/>
      <c r="N48" s="89">
        <f>D48*J48</f>
        <v>0</v>
      </c>
      <c r="O48" s="89">
        <f>SUM(L48:N48)</f>
        <v>0</v>
      </c>
      <c r="P48" s="92">
        <f>'Rider Rates'!D119</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166</v>
      </c>
      <c r="B49" s="72"/>
      <c r="C49" s="72"/>
      <c r="D49" s="111">
        <f>IF(C15&lt;0,0,IF(C15&gt;833000,833000,C15))</f>
        <v>0</v>
      </c>
      <c r="E49" s="97" t="s">
        <v>19</v>
      </c>
      <c r="F49" s="84" t="s">
        <v>80</v>
      </c>
      <c r="G49" s="195"/>
      <c r="H49" s="195"/>
      <c r="I49" s="195">
        <f>'Rider Rates'!B127</f>
        <v>0</v>
      </c>
      <c r="J49" s="195">
        <f>SUM(G49:I49)</f>
        <v>0</v>
      </c>
      <c r="K49" s="94" t="s">
        <v>85</v>
      </c>
      <c r="L49" s="196"/>
      <c r="M49" s="196"/>
      <c r="N49" s="196">
        <f>IF(D49*J49&gt;'Rider Rates'!$C$127,'Rider Rates'!$C$127,D49*J49)</f>
        <v>0</v>
      </c>
      <c r="O49" s="196">
        <f>SUM(L49:N49)</f>
        <v>0</v>
      </c>
      <c r="P49" s="129">
        <f>'Rider Rates'!$E$127</f>
        <v>45883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167</v>
      </c>
      <c r="B50" s="72"/>
      <c r="C50" s="72"/>
      <c r="D50" s="4">
        <f>IF(C15&gt;833000,C15-833000,0)</f>
        <v>0</v>
      </c>
      <c r="E50" s="97" t="s">
        <v>19</v>
      </c>
      <c r="F50" s="84" t="s">
        <v>80</v>
      </c>
      <c r="G50" s="195"/>
      <c r="H50" s="195"/>
      <c r="I50" s="195">
        <f>'Rider Rates'!B128</f>
        <v>0</v>
      </c>
      <c r="J50" s="195">
        <f>SUM(G50:I50)</f>
        <v>0</v>
      </c>
      <c r="K50" s="94" t="s">
        <v>85</v>
      </c>
      <c r="L50" s="196"/>
      <c r="M50" s="196"/>
      <c r="N50" s="196">
        <f>D50*J50</f>
        <v>0</v>
      </c>
      <c r="O50" s="196">
        <f>SUM(L50:N50)</f>
        <v>0</v>
      </c>
      <c r="P50" s="129">
        <f>'Rider Rates'!$E$128</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109</v>
      </c>
      <c r="B51" s="72"/>
      <c r="C51" s="72"/>
      <c r="D51" s="111">
        <f>C15</f>
        <v>0</v>
      </c>
      <c r="E51" s="97" t="s">
        <v>19</v>
      </c>
      <c r="F51" s="126" t="s">
        <v>80</v>
      </c>
      <c r="G51" s="100"/>
      <c r="H51" s="100"/>
      <c r="I51" s="100">
        <f>'Rider Rates'!$B$132</f>
        <v>0</v>
      </c>
      <c r="J51" s="115">
        <f>SUM(G51:I51)</f>
        <v>0</v>
      </c>
      <c r="K51" s="94" t="s">
        <v>85</v>
      </c>
      <c r="L51" s="89"/>
      <c r="M51" s="89"/>
      <c r="N51" s="89">
        <f>D51*J51</f>
        <v>0</v>
      </c>
      <c r="O51" s="89">
        <f>SUM(L51:N51)</f>
        <v>0</v>
      </c>
      <c r="P51" s="92">
        <f>'Rider Rates'!$D$132</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110</v>
      </c>
      <c r="B52" s="72"/>
      <c r="C52" s="72"/>
      <c r="D52" s="111"/>
      <c r="E52" s="97" t="s">
        <v>55</v>
      </c>
      <c r="F52" s="84" t="s">
        <v>80</v>
      </c>
      <c r="G52" s="127"/>
      <c r="H52" s="127"/>
      <c r="I52" s="127">
        <f>'Rider Rates'!$B$139</f>
        <v>0</v>
      </c>
      <c r="J52" s="127">
        <f>SUM(G52:I52)</f>
        <v>0</v>
      </c>
      <c r="K52" s="94"/>
      <c r="L52" s="128"/>
      <c r="M52" s="128"/>
      <c r="N52" s="128">
        <f>J52</f>
        <v>0</v>
      </c>
      <c r="O52" s="128">
        <f>SUM(L52:N52)</f>
        <v>0</v>
      </c>
      <c r="P52" s="129">
        <f>'Rider Rates'!D139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111</v>
      </c>
      <c r="B53" s="72"/>
      <c r="C53" s="72"/>
      <c r="D53" s="111"/>
      <c r="E53" s="97"/>
      <c r="F53" s="84"/>
      <c r="G53" s="127"/>
      <c r="H53" s="127"/>
      <c r="I53" s="127"/>
      <c r="J53" s="127"/>
      <c r="K53" s="94"/>
      <c r="L53" s="128"/>
      <c r="M53" s="128"/>
      <c r="N53" s="128"/>
      <c r="O53" s="128"/>
      <c r="P53" s="129"/>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130" t="s">
        <v>112</v>
      </c>
      <c r="B54" s="69"/>
      <c r="C54" s="69"/>
      <c r="D54" s="131"/>
      <c r="E54" s="132"/>
      <c r="F54" s="133"/>
      <c r="G54" s="133"/>
      <c r="H54" s="133"/>
      <c r="I54" s="133"/>
      <c r="J54" s="133"/>
      <c r="K54" s="134"/>
      <c r="L54" s="105">
        <f>SUM(L27:L53)</f>
        <v>0</v>
      </c>
      <c r="M54" s="105">
        <f>SUM(M27:M53)</f>
        <v>0</v>
      </c>
      <c r="N54" s="105">
        <f>SUM(N27:N53)</f>
        <v>26.16</v>
      </c>
      <c r="O54" s="105">
        <f>SUM(O27:O53)</f>
        <v>26.16</v>
      </c>
      <c r="P54" s="135"/>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72"/>
      <c r="C55" s="72"/>
      <c r="D55" s="111"/>
      <c r="E55" s="97"/>
      <c r="F55" s="84"/>
      <c r="G55" s="84"/>
      <c r="H55" s="84"/>
      <c r="I55" s="84"/>
      <c r="J55" s="101"/>
      <c r="K55" s="94"/>
      <c r="L55" s="84"/>
      <c r="M55" s="84"/>
      <c r="N55" s="84"/>
      <c r="O55" s="84"/>
      <c r="P55" s="137"/>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38" t="s">
        <v>113</v>
      </c>
      <c r="B56" s="106"/>
      <c r="C56" s="106"/>
      <c r="D56" s="106"/>
      <c r="E56" s="106"/>
      <c r="F56" s="106"/>
      <c r="G56" s="106"/>
      <c r="H56" s="106"/>
      <c r="I56" s="106"/>
      <c r="J56" s="106"/>
      <c r="K56" s="106"/>
      <c r="L56" s="139">
        <f>L23+L54</f>
        <v>0</v>
      </c>
      <c r="M56" s="139">
        <f>M23+M54</f>
        <v>0</v>
      </c>
      <c r="N56" s="139">
        <f>N23+N54</f>
        <v>35.56</v>
      </c>
      <c r="O56" s="140">
        <f>O23+O54</f>
        <v>35.56</v>
      </c>
      <c r="P56" s="140"/>
      <c r="Q56" s="84"/>
      <c r="R56" s="197"/>
      <c r="S56" s="94"/>
      <c r="T56" s="95"/>
      <c r="U56" s="72"/>
      <c r="V56" s="94"/>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102" t="s">
        <v>114</v>
      </c>
      <c r="B59" s="72"/>
      <c r="C59" s="72"/>
      <c r="D59" s="72"/>
      <c r="E59" s="72"/>
      <c r="F59" s="72"/>
      <c r="G59" s="72"/>
      <c r="H59" s="72"/>
      <c r="I59" s="72"/>
      <c r="J59" s="72"/>
      <c r="K59" s="72"/>
      <c r="L59" s="72"/>
      <c r="M59" s="72"/>
      <c r="N59" s="72"/>
      <c r="O59" s="95">
        <f>O21+O54</f>
        <v>35.56</v>
      </c>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2</v>
      </c>
      <c r="B60" s="102"/>
      <c r="C60" s="102"/>
      <c r="D60" s="102"/>
      <c r="E60" s="102"/>
      <c r="F60" s="102"/>
      <c r="G60" s="102"/>
      <c r="H60" s="10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69" t="s">
        <v>115</v>
      </c>
      <c r="B61" s="72"/>
      <c r="C61" s="72"/>
      <c r="D61" s="72"/>
      <c r="E61" s="72"/>
      <c r="F61" s="72"/>
      <c r="G61" s="72"/>
      <c r="H61" s="72"/>
      <c r="I61" s="72"/>
      <c r="J61" s="72"/>
      <c r="K61" s="72"/>
      <c r="L61" s="72"/>
      <c r="M61" s="72"/>
      <c r="N61" s="72"/>
      <c r="O61" s="141">
        <f>IF($D$17&lt;0,O56,IF(O56&gt;O59,O56,O59))</f>
        <v>35.56</v>
      </c>
      <c r="P61" s="84"/>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ht="15" customHeight="1" x14ac:dyDescent="0.2">
      <c r="A62" s="69"/>
      <c r="B62" s="72"/>
      <c r="C62" s="72"/>
      <c r="D62" s="72"/>
      <c r="E62" s="72"/>
      <c r="F62" s="72"/>
      <c r="G62" s="72"/>
      <c r="H62" s="72"/>
      <c r="I62" s="72"/>
      <c r="J62" s="72"/>
      <c r="K62" s="72"/>
      <c r="L62" s="72"/>
      <c r="M62" s="72"/>
      <c r="N62" s="72"/>
      <c r="O62" s="141"/>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
      <c r="A63" s="69"/>
      <c r="B63" s="102"/>
      <c r="C63" s="102"/>
      <c r="D63" s="102"/>
      <c r="E63" s="102"/>
      <c r="F63" s="102"/>
      <c r="G63" s="102"/>
      <c r="H63" s="102"/>
      <c r="I63" s="102" t="s">
        <v>116</v>
      </c>
      <c r="J63" s="102"/>
      <c r="K63" s="102"/>
      <c r="L63" s="143"/>
      <c r="M63" s="143"/>
      <c r="N63" s="143"/>
      <c r="O63" s="143">
        <f>ROUND(IF($C$15&lt;1,0,O56/($C$15*100)*10000),2)</f>
        <v>0</v>
      </c>
      <c r="P63" s="144" t="s">
        <v>117</v>
      </c>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
      <c r="B64" s="72"/>
      <c r="C64" s="72"/>
      <c r="D64" s="72"/>
      <c r="E64" s="72"/>
      <c r="F64" s="72"/>
      <c r="G64" s="72"/>
      <c r="H64" s="145"/>
      <c r="I64" s="146" t="s">
        <v>118</v>
      </c>
      <c r="J64" s="72"/>
      <c r="K64" s="72"/>
      <c r="L64" s="72"/>
      <c r="M64" s="72"/>
      <c r="N64" s="72"/>
      <c r="O64" s="147">
        <f>ROUND(IF($C$15&lt;1,0,(L56)/($C$15*100)*10000),2)</f>
        <v>0</v>
      </c>
      <c r="P64" s="59" t="s">
        <v>117</v>
      </c>
      <c r="Q64" s="72"/>
      <c r="R64" s="72"/>
      <c r="S64" s="72"/>
      <c r="T64" s="72"/>
      <c r="U64" s="72"/>
      <c r="V64" s="72"/>
      <c r="W64" s="72"/>
      <c r="X64" s="72"/>
      <c r="Y64" s="72"/>
      <c r="Z64" s="72"/>
      <c r="AA64" s="72"/>
      <c r="AB64" s="72"/>
      <c r="AC64" s="72"/>
      <c r="AD64" s="72"/>
      <c r="AE64" s="72"/>
      <c r="AF64" s="72"/>
      <c r="AG64" s="72"/>
      <c r="AH64" s="72"/>
      <c r="AI64" s="72"/>
      <c r="AJ64" s="72"/>
      <c r="AK64" s="72"/>
    </row>
  </sheetData>
  <sheetProtection algorithmName="SHA-512" hashValue="sUHnFrj/G/VV8T2qVzr/y9Va88uIn5kKu62DW/pMn2KjwAdOK84SlLGfthoiMJ5NHW/5aVOWFeQZoyayZpOOng==" saltValue="Iu5ptCemydtdcj0RmYo5/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9218" r:id="rId5" name="Button 2">
              <controlPr defaultSize="0" print="0" autoFill="0" autoPict="0" macro="[0]!Info">
                <anchor moveWithCells="1">
                  <from>
                    <xdr:col>15</xdr:col>
                    <xdr:colOff>190500</xdr:colOff>
                    <xdr:row>71</xdr:row>
                    <xdr:rowOff>47625</xdr:rowOff>
                  </from>
                  <to>
                    <xdr:col>15</xdr:col>
                    <xdr:colOff>542925</xdr:colOff>
                    <xdr:row>72</xdr:row>
                    <xdr:rowOff>104775</xdr:rowOff>
                  </to>
                </anchor>
              </controlPr>
            </control>
          </mc:Choice>
        </mc:AlternateContent>
        <mc:AlternateContent xmlns:mc="http://schemas.openxmlformats.org/markup-compatibility/2006">
          <mc:Choice Requires="x14">
            <control shapeId="921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C0AF4-2538-45CE-B569-CD2BF0337CE5}">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48" t="s">
        <v>50</v>
      </c>
      <c r="B1" s="448"/>
      <c r="C1" s="448"/>
      <c r="D1" s="448"/>
      <c r="E1" s="448"/>
      <c r="F1" s="448"/>
      <c r="G1" s="448"/>
      <c r="H1" s="448"/>
      <c r="I1" s="448"/>
      <c r="J1" s="448"/>
      <c r="K1" s="448"/>
      <c r="L1" s="448"/>
      <c r="M1" s="448"/>
      <c r="N1" s="448"/>
      <c r="O1" s="448"/>
      <c r="P1" s="448"/>
    </row>
    <row r="2" spans="1:30" ht="20.25" x14ac:dyDescent="0.3">
      <c r="A2" s="432" t="s">
        <v>138</v>
      </c>
      <c r="B2" s="432"/>
      <c r="C2" s="432"/>
      <c r="D2" s="432"/>
      <c r="E2" s="432"/>
      <c r="F2" s="432"/>
      <c r="G2" s="432"/>
      <c r="H2" s="432"/>
      <c r="I2" s="432"/>
      <c r="J2" s="432"/>
      <c r="K2" s="432"/>
      <c r="L2" s="432"/>
      <c r="M2" s="432"/>
      <c r="N2" s="432"/>
      <c r="O2" s="432"/>
      <c r="P2" s="432"/>
    </row>
    <row r="3" spans="1:30" ht="18" x14ac:dyDescent="0.25">
      <c r="A3" s="449" t="s">
        <v>163</v>
      </c>
      <c r="B3" s="449"/>
      <c r="C3" s="449"/>
      <c r="D3" s="449"/>
      <c r="E3" s="449"/>
      <c r="F3" s="449"/>
      <c r="G3" s="449"/>
      <c r="H3" s="449"/>
      <c r="I3" s="449"/>
      <c r="J3" s="449"/>
      <c r="K3" s="449"/>
      <c r="L3" s="449"/>
      <c r="M3" s="449"/>
      <c r="N3" s="449"/>
      <c r="O3" s="449"/>
      <c r="P3" s="449"/>
    </row>
    <row r="4" spans="1:30"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30" ht="15" x14ac:dyDescent="0.2">
      <c r="A5" s="55"/>
      <c r="B5" s="55"/>
      <c r="C5" s="55"/>
      <c r="D5" s="55"/>
      <c r="E5" s="55"/>
      <c r="F5" s="55"/>
      <c r="G5" s="55"/>
      <c r="H5" s="55"/>
      <c r="I5" s="55"/>
      <c r="J5" s="55"/>
      <c r="K5" s="55"/>
    </row>
    <row r="6" spans="1:30" x14ac:dyDescent="0.2">
      <c r="A6" s="56">
        <f ca="1">TODAY()</f>
        <v>46051</v>
      </c>
      <c r="B6" s="76" t="s">
        <v>168</v>
      </c>
      <c r="C6" s="56"/>
      <c r="D6" s="56"/>
      <c r="E6" s="56"/>
      <c r="F6" s="56"/>
      <c r="G6" s="56"/>
      <c r="H6" s="56"/>
      <c r="I6" s="56"/>
    </row>
    <row r="7" spans="1:30" ht="26.25" x14ac:dyDescent="0.4">
      <c r="A7" s="450"/>
      <c r="B7" s="450"/>
      <c r="C7" s="450"/>
      <c r="D7" s="450"/>
      <c r="E7" s="450"/>
      <c r="F7" s="450"/>
      <c r="G7" s="450"/>
      <c r="H7" s="450"/>
      <c r="I7" s="450"/>
      <c r="J7" s="450"/>
      <c r="K7" s="450"/>
      <c r="L7" s="450"/>
      <c r="M7" s="450"/>
      <c r="N7" s="450"/>
      <c r="O7" s="450"/>
      <c r="P7" s="450"/>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2</v>
      </c>
      <c r="C11" s="63" t="str">
        <f>LOOKUP(B11,R11:AD11,R12:AD12)</f>
        <v>February</v>
      </c>
      <c r="D11" s="64">
        <f>'Customer Info'!C9</f>
        <v>2026</v>
      </c>
      <c r="S11">
        <v>1</v>
      </c>
      <c r="T11">
        <v>2</v>
      </c>
      <c r="U11">
        <v>3</v>
      </c>
      <c r="V11">
        <v>4</v>
      </c>
      <c r="W11">
        <v>5</v>
      </c>
      <c r="X11">
        <v>6</v>
      </c>
      <c r="Y11">
        <v>7</v>
      </c>
      <c r="Z11">
        <v>8</v>
      </c>
      <c r="AA11">
        <v>9</v>
      </c>
      <c r="AB11">
        <v>10</v>
      </c>
      <c r="AC11">
        <v>11</v>
      </c>
      <c r="AD11">
        <v>12</v>
      </c>
    </row>
    <row r="12" spans="1:30" x14ac:dyDescent="0.2">
      <c r="A12" s="443"/>
      <c r="B12" s="443"/>
      <c r="C12" s="443"/>
      <c r="D12" s="443"/>
      <c r="E12" s="443"/>
      <c r="F12" s="443"/>
      <c r="G12" s="443"/>
      <c r="H12" s="443"/>
      <c r="I12" s="443"/>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44" t="s">
        <v>71</v>
      </c>
      <c r="H19" s="445"/>
      <c r="I19" s="445"/>
      <c r="J19" s="446"/>
      <c r="K19" s="163"/>
      <c r="L19" s="447" t="s">
        <v>72</v>
      </c>
      <c r="M19" s="447"/>
      <c r="N19" s="447"/>
      <c r="O19" s="447"/>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5.5215000000000004E-3</v>
      </c>
      <c r="J27" s="100">
        <f t="shared" ref="J27:J47" si="0">SUM(G27:I27)</f>
        <v>5.5215000000000004E-3</v>
      </c>
      <c r="K27" s="94" t="s">
        <v>85</v>
      </c>
      <c r="L27" s="89"/>
      <c r="M27" s="89"/>
      <c r="N27" s="89">
        <f t="shared" ref="N27:N32" si="1">ROUND(D27*I27,2)</f>
        <v>0</v>
      </c>
      <c r="O27" s="89">
        <f t="shared" ref="O27:O48" si="2">SUM(L27:N27)</f>
        <v>0</v>
      </c>
      <c r="P27" s="92">
        <f>'Rider Rates'!$D$4</f>
        <v>46022</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46022</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f>'Rider Rates'!B22</f>
        <v>7.6880000000000004E-2</v>
      </c>
      <c r="H34" s="100"/>
      <c r="I34" s="100"/>
      <c r="J34" s="115">
        <f>SUM(G34:H34)</f>
        <v>7.6880000000000004E-2</v>
      </c>
      <c r="K34" s="94" t="s">
        <v>85</v>
      </c>
      <c r="L34" s="89">
        <f>ROUND(D34*G34,2)</f>
        <v>0</v>
      </c>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f>'Rider Rates'!B38</f>
        <v>0.15807350000000001</v>
      </c>
      <c r="H35" s="100"/>
      <c r="I35" s="100"/>
      <c r="J35" s="115">
        <f>SUM(G35:H35)</f>
        <v>0.15807350000000001</v>
      </c>
      <c r="K35" s="94" t="s">
        <v>85</v>
      </c>
      <c r="L35" s="89">
        <f>ROUND(D35*G35,2)</f>
        <v>0</v>
      </c>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f>'Rider Rates'!$B$49</f>
        <v>2.7588999999999999E-3</v>
      </c>
      <c r="H37" s="100"/>
      <c r="I37" s="100"/>
      <c r="J37" s="115">
        <f>SUM(G37:H37)</f>
        <v>2.7588999999999999E-3</v>
      </c>
      <c r="K37" s="94" t="s">
        <v>85</v>
      </c>
      <c r="L37" s="89">
        <f>ROUND(D37*G37,2)</f>
        <v>0</v>
      </c>
      <c r="M37" s="89"/>
      <c r="N37" s="89"/>
      <c r="O37" s="89">
        <f t="shared" si="2"/>
        <v>0</v>
      </c>
      <c r="P37" s="92">
        <f>'Rider Rates'!$D$49</f>
        <v>46022</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2.1561400000000001E-2</v>
      </c>
      <c r="I39" s="100"/>
      <c r="J39" s="100">
        <f>SUM(G39:I39)</f>
        <v>2.1561400000000001E-2</v>
      </c>
      <c r="K39" s="94" t="s">
        <v>85</v>
      </c>
      <c r="L39" s="89"/>
      <c r="M39" s="89">
        <f>ROUND(D39*H39,2)</f>
        <v>0</v>
      </c>
      <c r="N39" s="116"/>
      <c r="O39" s="89">
        <f t="shared" si="2"/>
        <v>0</v>
      </c>
      <c r="P39" s="92">
        <f>'Rider Rates'!$D$58</f>
        <v>45929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3.5344300000000002E-2</v>
      </c>
      <c r="J42" s="119">
        <f t="shared" si="0"/>
        <v>3.5344300000000002E-2</v>
      </c>
      <c r="K42" s="94"/>
      <c r="L42" s="89"/>
      <c r="M42" s="89"/>
      <c r="N42" s="89">
        <f>ROUND(D42*I42,2)</f>
        <v>0.33</v>
      </c>
      <c r="O42" s="89">
        <f t="shared" si="2"/>
        <v>0.33</v>
      </c>
      <c r="P42" s="92">
        <f>'Rider Rates'!$D$87</f>
        <v>45929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7.8822199999999995E-2</v>
      </c>
      <c r="J43" s="119">
        <f t="shared" si="0"/>
        <v>7.8822199999999995E-2</v>
      </c>
      <c r="K43" s="94"/>
      <c r="L43" s="89"/>
      <c r="M43" s="89"/>
      <c r="N43" s="89">
        <f>ROUND(D43*I43,2)</f>
        <v>0.74</v>
      </c>
      <c r="O43" s="89">
        <f t="shared" si="2"/>
        <v>0.74</v>
      </c>
      <c r="P43" s="92">
        <f>'Rider Rates'!$D$89</f>
        <v>45987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21.84</v>
      </c>
      <c r="J44" s="121">
        <f t="shared" si="0"/>
        <v>21.84</v>
      </c>
      <c r="K44" s="94"/>
      <c r="L44" s="89"/>
      <c r="M44" s="89"/>
      <c r="N44" s="89">
        <f>I44</f>
        <v>21.84</v>
      </c>
      <c r="O44" s="89">
        <f t="shared" si="2"/>
        <v>21.84</v>
      </c>
      <c r="P44" s="92">
        <f>'Rider Rates'!$D$93</f>
        <v>46022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0.24079249999999999</v>
      </c>
      <c r="J46" s="119">
        <f t="shared" si="0"/>
        <v>0.24079249999999999</v>
      </c>
      <c r="K46" s="94"/>
      <c r="L46" s="89"/>
      <c r="M46" s="89"/>
      <c r="N46" s="89">
        <f>ROUND(D46*I46,2)</f>
        <v>2.2599999999999998</v>
      </c>
      <c r="O46" s="89">
        <f t="shared" si="2"/>
        <v>2.2599999999999998</v>
      </c>
      <c r="P46" s="92">
        <f>'Rider Rates'!$D$107</f>
        <v>45987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 t="shared" si="0"/>
        <v>0.99</v>
      </c>
      <c r="K47" s="94"/>
      <c r="L47" s="89"/>
      <c r="M47" s="89"/>
      <c r="N47" s="125">
        <f>I47</f>
        <v>0.99</v>
      </c>
      <c r="O47" s="89">
        <f t="shared" si="2"/>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26.16</v>
      </c>
      <c r="O55" s="105">
        <f>SUM(O27:O54)</f>
        <v>26.16</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35.56</v>
      </c>
      <c r="O57" s="140">
        <f>O23+O55</f>
        <v>35.56</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35.56</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35.56</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nWgMIEiEWexghc4UkyLWApUrvMb3fVjMa9Q/3r0CK8S07QDE+Rs4rsdEY92banm6+AsjcKdrNzxxRRm4Ise+tw==" saltValue="0npzGEYMKro3JA/PmbV26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024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024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32022-7130-4E80-8E07-FC0D8BF26FE0}">
  <dimension ref="A1:HM70"/>
  <sheetViews>
    <sheetView showGridLines="0"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448" t="s">
        <v>50</v>
      </c>
      <c r="B1" s="448"/>
      <c r="C1" s="448"/>
      <c r="D1" s="448"/>
      <c r="E1" s="448"/>
      <c r="F1" s="448"/>
      <c r="G1" s="448"/>
      <c r="H1" s="448"/>
      <c r="I1" s="448"/>
      <c r="J1" s="448"/>
      <c r="K1" s="448"/>
      <c r="L1" s="448"/>
      <c r="M1" s="448"/>
      <c r="N1" s="448"/>
      <c r="O1" s="448"/>
      <c r="P1" s="448"/>
    </row>
    <row r="2" spans="1:30" ht="20.25" x14ac:dyDescent="0.3">
      <c r="A2" s="432" t="s">
        <v>138</v>
      </c>
      <c r="B2" s="432"/>
      <c r="C2" s="432"/>
      <c r="D2" s="432"/>
      <c r="E2" s="432"/>
      <c r="F2" s="432"/>
      <c r="G2" s="432"/>
      <c r="H2" s="432"/>
      <c r="I2" s="432"/>
      <c r="J2" s="432"/>
      <c r="K2" s="432"/>
      <c r="L2" s="432"/>
      <c r="M2" s="432"/>
      <c r="N2" s="432"/>
      <c r="O2" s="432"/>
      <c r="P2" s="432"/>
    </row>
    <row r="3" spans="1:30" ht="18" x14ac:dyDescent="0.25">
      <c r="A3" s="449" t="s">
        <v>172</v>
      </c>
      <c r="B3" s="449"/>
      <c r="C3" s="449"/>
      <c r="D3" s="449"/>
      <c r="E3" s="449"/>
      <c r="F3" s="449"/>
      <c r="G3" s="449"/>
      <c r="H3" s="449"/>
      <c r="I3" s="449"/>
      <c r="J3" s="449"/>
      <c r="K3" s="449"/>
      <c r="L3" s="449"/>
      <c r="M3" s="449"/>
      <c r="N3" s="449"/>
      <c r="O3" s="449"/>
      <c r="P3" s="449"/>
    </row>
    <row r="4" spans="1:30"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30" ht="15" x14ac:dyDescent="0.2">
      <c r="A5" s="56">
        <f ca="1">TODAY()</f>
        <v>46051</v>
      </c>
      <c r="B5" s="55"/>
      <c r="C5" s="55"/>
      <c r="D5" s="55"/>
      <c r="E5" s="55"/>
      <c r="F5" s="55"/>
      <c r="G5" s="55"/>
      <c r="H5" s="55"/>
      <c r="I5" s="55"/>
      <c r="J5" s="55"/>
      <c r="K5" s="55"/>
      <c r="L5" s="55"/>
      <c r="M5" s="55"/>
      <c r="N5" s="55"/>
      <c r="O5" s="55"/>
      <c r="P5" s="55"/>
    </row>
    <row r="6" spans="1:30" x14ac:dyDescent="0.2">
      <c r="A6" s="451" t="s">
        <v>173</v>
      </c>
      <c r="B6" s="451"/>
      <c r="C6" s="451"/>
      <c r="D6" s="451"/>
      <c r="E6" s="451"/>
      <c r="F6" s="451"/>
      <c r="G6" s="451"/>
      <c r="H6" s="451"/>
      <c r="I6" s="451"/>
      <c r="J6" s="451"/>
      <c r="K6" s="451"/>
      <c r="L6" s="451"/>
      <c r="M6" s="451"/>
      <c r="N6" s="451"/>
      <c r="O6" s="451"/>
      <c r="P6" s="451"/>
      <c r="Q6" s="451"/>
    </row>
    <row r="7" spans="1:30" x14ac:dyDescent="0.2">
      <c r="A7" s="436" t="s">
        <v>2</v>
      </c>
      <c r="B7" s="436"/>
      <c r="C7" s="436"/>
      <c r="D7" s="436"/>
      <c r="E7" s="436"/>
      <c r="F7" s="436"/>
      <c r="G7" s="436"/>
      <c r="H7" s="436"/>
      <c r="I7" s="436"/>
      <c r="J7" s="436"/>
      <c r="K7" s="436"/>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2</v>
      </c>
      <c r="C11" s="63" t="str">
        <f>LOOKUP(B11,R11:AD11,R12:AD12)</f>
        <v>February</v>
      </c>
      <c r="D11" s="64">
        <f>'Customer Info'!C9</f>
        <v>2026</v>
      </c>
      <c r="S11">
        <v>1</v>
      </c>
      <c r="T11">
        <v>2</v>
      </c>
      <c r="U11">
        <v>3</v>
      </c>
      <c r="V11">
        <v>4</v>
      </c>
      <c r="W11">
        <v>5</v>
      </c>
      <c r="X11">
        <v>6</v>
      </c>
      <c r="Y11">
        <v>7</v>
      </c>
      <c r="Z11">
        <v>8</v>
      </c>
      <c r="AA11">
        <v>9</v>
      </c>
      <c r="AB11">
        <v>10</v>
      </c>
      <c r="AC11">
        <v>11</v>
      </c>
      <c r="AD11">
        <v>12</v>
      </c>
    </row>
    <row r="12" spans="1:30" x14ac:dyDescent="0.2">
      <c r="A12" s="443"/>
      <c r="B12" s="443"/>
      <c r="C12" s="443"/>
      <c r="D12" s="443"/>
      <c r="E12" s="443"/>
      <c r="F12" s="443"/>
      <c r="G12" s="443"/>
      <c r="H12" s="443"/>
      <c r="I12" s="443"/>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55" t="s">
        <v>68</v>
      </c>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199"/>
      <c r="T14" s="199"/>
      <c r="U14" s="199"/>
      <c r="V14" s="199"/>
      <c r="W14" s="199"/>
      <c r="X14" s="200"/>
      <c r="Y14" s="200"/>
      <c r="Z14" s="200"/>
      <c r="AA14" s="200"/>
      <c r="AB14" s="199"/>
      <c r="AC14" s="199"/>
      <c r="AD14" s="199"/>
    </row>
    <row r="15" spans="1:30" x14ac:dyDescent="0.2">
      <c r="A15" s="158" t="s">
        <v>134</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201"/>
      <c r="Y15" s="201"/>
      <c r="Z15" s="201"/>
      <c r="AA15" s="201"/>
      <c r="AB15" s="77"/>
      <c r="AC15" s="77"/>
      <c r="AD15" s="77"/>
    </row>
    <row r="16" spans="1:30" x14ac:dyDescent="0.2">
      <c r="A16" s="158"/>
      <c r="B16" s="158"/>
      <c r="C16" s="160"/>
      <c r="D16" s="160"/>
      <c r="E16" s="160"/>
      <c r="F16" s="160"/>
      <c r="G16" s="57"/>
      <c r="H16" s="158"/>
      <c r="I16" s="158"/>
      <c r="R16" s="72"/>
      <c r="S16" s="77"/>
      <c r="T16" s="77"/>
      <c r="U16" s="77"/>
      <c r="V16" s="77"/>
      <c r="W16" s="77"/>
      <c r="X16" s="77"/>
      <c r="Y16" s="77"/>
      <c r="Z16" s="77"/>
      <c r="AA16" s="77"/>
      <c r="AB16" s="77"/>
      <c r="AC16" s="77"/>
      <c r="AD16" s="77"/>
    </row>
    <row r="17" spans="1:221" x14ac:dyDescent="0.2">
      <c r="A17" s="162" t="s">
        <v>174</v>
      </c>
      <c r="B17" s="163"/>
      <c r="C17" s="163"/>
      <c r="D17" s="163"/>
      <c r="E17" s="163"/>
      <c r="F17" s="163"/>
      <c r="G17" s="444" t="s">
        <v>71</v>
      </c>
      <c r="H17" s="445"/>
      <c r="I17" s="445"/>
      <c r="J17" s="446"/>
      <c r="K17" s="163"/>
      <c r="L17" s="447" t="s">
        <v>72</v>
      </c>
      <c r="M17" s="447"/>
      <c r="N17" s="447"/>
      <c r="O17" s="447"/>
    </row>
    <row r="18" spans="1:221" x14ac:dyDescent="0.2">
      <c r="G18" s="164" t="s">
        <v>73</v>
      </c>
      <c r="H18" s="164" t="s">
        <v>74</v>
      </c>
      <c r="I18" s="164" t="s">
        <v>75</v>
      </c>
      <c r="J18" s="118" t="s">
        <v>76</v>
      </c>
      <c r="L18" s="165" t="s">
        <v>73</v>
      </c>
      <c r="M18" s="165" t="s">
        <v>74</v>
      </c>
      <c r="N18" s="165" t="s">
        <v>75</v>
      </c>
      <c r="O18" s="165" t="s">
        <v>76</v>
      </c>
      <c r="P18" s="166" t="s">
        <v>77</v>
      </c>
    </row>
    <row r="19" spans="1:221" x14ac:dyDescent="0.2">
      <c r="A19" t="s">
        <v>78</v>
      </c>
      <c r="G19" s="167"/>
      <c r="H19" s="167"/>
      <c r="I19" s="168">
        <v>9.4</v>
      </c>
      <c r="J19" s="168">
        <f>SUM(G19:I19)</f>
        <v>9.4</v>
      </c>
      <c r="L19" s="168"/>
      <c r="M19" s="168"/>
      <c r="N19" s="168">
        <f>I19</f>
        <v>9.4</v>
      </c>
      <c r="O19" s="89">
        <f>+SUM(L19:N19)</f>
        <v>9.4</v>
      </c>
      <c r="P19" s="92">
        <v>44531</v>
      </c>
    </row>
    <row r="20" spans="1:221" x14ac:dyDescent="0.2">
      <c r="A20" t="s">
        <v>155</v>
      </c>
      <c r="D20" s="4">
        <f>C15</f>
        <v>0</v>
      </c>
      <c r="E20" s="152" t="s">
        <v>19</v>
      </c>
      <c r="F20" s="1" t="s">
        <v>80</v>
      </c>
      <c r="G20" s="169"/>
      <c r="H20" s="181"/>
      <c r="I20" s="181">
        <v>2.05802E-2</v>
      </c>
      <c r="J20" s="181">
        <f>SUM(G20:I20)</f>
        <v>2.05802E-2</v>
      </c>
      <c r="K20" s="154" t="s">
        <v>85</v>
      </c>
      <c r="L20" s="182"/>
      <c r="M20" s="182"/>
      <c r="N20" s="182">
        <f>ROUND($D20*I20,2)</f>
        <v>0</v>
      </c>
      <c r="O20" s="89">
        <f>+SUM(L20:N20)</f>
        <v>0</v>
      </c>
      <c r="P20" s="92">
        <v>44531</v>
      </c>
    </row>
    <row r="21" spans="1:221" x14ac:dyDescent="0.2">
      <c r="A21" s="153" t="s">
        <v>129</v>
      </c>
      <c r="B21" s="144"/>
      <c r="C21" s="144"/>
      <c r="D21" s="170"/>
      <c r="E21" s="170"/>
      <c r="F21" s="144"/>
      <c r="G21" s="144"/>
      <c r="I21" s="171"/>
      <c r="K21" s="172"/>
      <c r="L21" s="173"/>
      <c r="M21" s="174"/>
      <c r="N21" s="173">
        <f>SUM(N19:N20)</f>
        <v>9.4</v>
      </c>
      <c r="O21" s="173">
        <f>SUM(O19:O20)</f>
        <v>9.4</v>
      </c>
    </row>
    <row r="22" spans="1:221" x14ac:dyDescent="0.2">
      <c r="A22" s="106"/>
      <c r="B22" s="106"/>
      <c r="C22" s="106"/>
      <c r="D22" s="107"/>
      <c r="E22" s="107"/>
      <c r="F22" s="106"/>
      <c r="G22" s="107"/>
      <c r="H22" s="107"/>
      <c r="I22" s="107"/>
      <c r="J22" s="107"/>
      <c r="K22" s="108"/>
      <c r="L22" s="107"/>
      <c r="M22" s="107"/>
      <c r="N22" s="107"/>
      <c r="O22" s="107"/>
      <c r="P22" s="107"/>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72"/>
      <c r="R23" s="93"/>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Q24" s="202"/>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IF($C$15&lt;0,0,IF($C$15&gt;833000,833000,$C$15))</f>
        <v>0</v>
      </c>
      <c r="E25" s="97" t="s">
        <v>19</v>
      </c>
      <c r="F25" s="84" t="s">
        <v>80</v>
      </c>
      <c r="G25" s="100"/>
      <c r="H25" s="100"/>
      <c r="I25" s="100">
        <f>'Rider Rates'!$B$4</f>
        <v>5.5215000000000004E-3</v>
      </c>
      <c r="J25" s="175">
        <f t="shared" ref="J25:J45" si="0">SUM(G25:I25)</f>
        <v>5.5215000000000004E-3</v>
      </c>
      <c r="K25" s="94" t="s">
        <v>85</v>
      </c>
      <c r="L25" s="89"/>
      <c r="M25" s="89"/>
      <c r="N25" s="89">
        <f>ROUND(D25*I25,2)</f>
        <v>0</v>
      </c>
      <c r="O25" s="89">
        <f>SUM(L25:N25)</f>
        <v>0</v>
      </c>
      <c r="P25" s="92">
        <f>'Rider Rates'!$D$4</f>
        <v>46022</v>
      </c>
      <c r="Q25" s="202"/>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ROUND(D26*I26,2)</f>
        <v>0</v>
      </c>
      <c r="O26" s="89">
        <f>SUM(L26:N26)</f>
        <v>0</v>
      </c>
      <c r="P26" s="92">
        <f>'Rider Rates'!$D$4</f>
        <v>46022</v>
      </c>
      <c r="Q26" s="20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4">
        <f>IF('Customer Info'!$C$33=TRUE,0,IF(C15&lt;0,0,IF(C15&gt;2000,2000,C15)))</f>
        <v>0</v>
      </c>
      <c r="E27" s="97" t="s">
        <v>19</v>
      </c>
      <c r="F27" s="84" t="s">
        <v>80</v>
      </c>
      <c r="G27" s="100"/>
      <c r="H27" s="100"/>
      <c r="I27" s="112">
        <f>'Rider Rates'!$B$8</f>
        <v>4.6499999999999996E-3</v>
      </c>
      <c r="J27" s="112">
        <f t="shared" si="0"/>
        <v>4.6499999999999996E-3</v>
      </c>
      <c r="K27" s="94" t="s">
        <v>85</v>
      </c>
      <c r="L27" s="89"/>
      <c r="M27" s="89"/>
      <c r="N27" s="89">
        <f>ROUND(D27*I27,2)</f>
        <v>0</v>
      </c>
      <c r="O27" s="89">
        <f>SUM(L27:N27)</f>
        <v>0</v>
      </c>
      <c r="P27" s="92">
        <f>'Rider Rates'!$D$7</f>
        <v>44531</v>
      </c>
      <c r="Q27" s="20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4">
        <f>IF('Customer Info'!$C$33=TRUE,0,IF(C15&gt;15000,13000,IF(C15&gt;2000,C15-2000,0)))</f>
        <v>0</v>
      </c>
      <c r="E28" s="97" t="s">
        <v>19</v>
      </c>
      <c r="F28" s="84" t="s">
        <v>80</v>
      </c>
      <c r="G28" s="100"/>
      <c r="H28" s="100"/>
      <c r="I28" s="112">
        <f>'Rider Rates'!$B$9</f>
        <v>4.1900000000000001E-3</v>
      </c>
      <c r="J28" s="112">
        <f t="shared" si="0"/>
        <v>4.1900000000000001E-3</v>
      </c>
      <c r="K28" s="94" t="s">
        <v>85</v>
      </c>
      <c r="L28" s="89"/>
      <c r="M28" s="89"/>
      <c r="N28" s="89">
        <f>ROUND(D28*I28,2)</f>
        <v>0</v>
      </c>
      <c r="O28" s="89">
        <f>SUM(L28:N28)</f>
        <v>0</v>
      </c>
      <c r="P28" s="92">
        <f>'Rider Rates'!$D$7</f>
        <v>44531</v>
      </c>
      <c r="Q28" s="20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4">
        <f>IF('Customer Info'!$C$33=TRUE,0,IF(C15-D27-D28&gt;0,C15-D27-D28,0))</f>
        <v>0</v>
      </c>
      <c r="E29" s="97" t="s">
        <v>19</v>
      </c>
      <c r="F29" s="84" t="s">
        <v>80</v>
      </c>
      <c r="G29" s="100"/>
      <c r="H29" s="100"/>
      <c r="I29" s="112">
        <f>'Rider Rates'!$B$10</f>
        <v>3.63E-3</v>
      </c>
      <c r="J29" s="112">
        <f t="shared" si="0"/>
        <v>3.63E-3</v>
      </c>
      <c r="K29" s="94" t="s">
        <v>85</v>
      </c>
      <c r="L29" s="89"/>
      <c r="M29" s="89"/>
      <c r="N29" s="89">
        <f>ROUND(D29*I29,2)</f>
        <v>0</v>
      </c>
      <c r="O29" s="89">
        <f>SUM(L29:N29)</f>
        <v>0</v>
      </c>
      <c r="P29" s="92">
        <f>'Rider Rates'!$D$7</f>
        <v>44531</v>
      </c>
      <c r="Q29" s="20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91</v>
      </c>
      <c r="B30" s="72"/>
      <c r="C30" s="72"/>
      <c r="D30" s="113">
        <f>$N$21</f>
        <v>9.4</v>
      </c>
      <c r="E30" s="97" t="s">
        <v>92</v>
      </c>
      <c r="F30" s="84" t="s">
        <v>80</v>
      </c>
      <c r="G30" s="100"/>
      <c r="H30" s="100"/>
      <c r="I30" s="114">
        <f>'Rider Rates'!$B$18+'Rider Rates'!$E$18</f>
        <v>0</v>
      </c>
      <c r="J30" s="114">
        <f>SUM(G30:I30)</f>
        <v>0</v>
      </c>
      <c r="K30" s="94"/>
      <c r="L30" s="89"/>
      <c r="M30" s="89"/>
      <c r="N30" s="89">
        <f>ROUND($D$30*'Rider Rates'!$B$18,2)+ROUND($D$30*'Rider Rates'!$E$18,2)</f>
        <v>0</v>
      </c>
      <c r="O30" s="89">
        <f t="shared" ref="O30:O36" si="1">SUM(L30:N30)</f>
        <v>0</v>
      </c>
      <c r="P30" s="92">
        <f>MAX('Rider Rates'!$D$18,'Rider Rates'!$F$18)</f>
        <v>44531</v>
      </c>
      <c r="Q30" s="20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93</v>
      </c>
      <c r="B31" s="72"/>
      <c r="C31" s="72"/>
      <c r="D31" s="111">
        <f>'Customer Info'!$B$22+'Customer Info'!$B$23</f>
        <v>0</v>
      </c>
      <c r="E31" s="97" t="s">
        <v>19</v>
      </c>
      <c r="F31" s="84" t="s">
        <v>80</v>
      </c>
      <c r="G31" s="100">
        <f>'Rider Rates'!B22</f>
        <v>7.6880000000000004E-2</v>
      </c>
      <c r="H31" s="100"/>
      <c r="I31" s="100"/>
      <c r="J31" s="115">
        <f>SUM(G31:H31)</f>
        <v>7.6880000000000004E-2</v>
      </c>
      <c r="K31" s="94" t="s">
        <v>85</v>
      </c>
      <c r="L31" s="89">
        <f>ROUND(D31*G31,2)</f>
        <v>0</v>
      </c>
      <c r="M31" s="89"/>
      <c r="N31" s="89"/>
      <c r="O31" s="89">
        <f t="shared" si="1"/>
        <v>0</v>
      </c>
      <c r="P31" s="92">
        <f>'Rider Rates'!$D$21</f>
        <v>45809</v>
      </c>
      <c r="Q31" s="202"/>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145</v>
      </c>
      <c r="B32" s="72"/>
      <c r="C32" s="72"/>
      <c r="D32" s="4">
        <f>'Customer Info'!B22</f>
        <v>0</v>
      </c>
      <c r="E32" s="97" t="s">
        <v>19</v>
      </c>
      <c r="F32" s="84" t="s">
        <v>80</v>
      </c>
      <c r="G32" s="100">
        <f>'Rider Rates'!$B$40</f>
        <v>5.64179E-2</v>
      </c>
      <c r="H32" s="100"/>
      <c r="I32" s="100"/>
      <c r="J32" s="115">
        <f>SUM(G32:H32)</f>
        <v>5.64179E-2</v>
      </c>
      <c r="K32" s="94" t="s">
        <v>85</v>
      </c>
      <c r="L32" s="89">
        <f>ROUND(D32*G32,2)</f>
        <v>0</v>
      </c>
      <c r="M32" s="89"/>
      <c r="N32" s="89"/>
      <c r="O32" s="89">
        <f t="shared" si="1"/>
        <v>0</v>
      </c>
      <c r="P32" s="92">
        <f>'Rider Rates'!$D$40</f>
        <v>45809</v>
      </c>
      <c r="Q32" s="202"/>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146</v>
      </c>
      <c r="B33" s="72"/>
      <c r="C33" s="72"/>
      <c r="D33" s="4">
        <f>'Customer Info'!B23</f>
        <v>0</v>
      </c>
      <c r="E33" s="97" t="s">
        <v>19</v>
      </c>
      <c r="F33" s="84" t="s">
        <v>80</v>
      </c>
      <c r="G33" s="100">
        <f>'Rider Rates'!$B$41</f>
        <v>1.928E-4</v>
      </c>
      <c r="H33" s="100"/>
      <c r="I33" s="100"/>
      <c r="J33" s="115">
        <f>SUM(G33:H33)</f>
        <v>1.928E-4</v>
      </c>
      <c r="K33" s="94" t="s">
        <v>85</v>
      </c>
      <c r="L33" s="89">
        <f>ROUND(D33*G33,2)</f>
        <v>0</v>
      </c>
      <c r="M33" s="89"/>
      <c r="N33" s="89"/>
      <c r="O33" s="89">
        <f t="shared" si="1"/>
        <v>0</v>
      </c>
      <c r="P33" s="92">
        <f>'Rider Rates'!$D$41</f>
        <v>45809</v>
      </c>
      <c r="Q33" s="202"/>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95</v>
      </c>
      <c r="B34" s="72"/>
      <c r="C34" s="72"/>
      <c r="D34" s="111">
        <f>'Customer Info'!$B$22+'Customer Info'!$B$23</f>
        <v>0</v>
      </c>
      <c r="E34" s="97" t="s">
        <v>19</v>
      </c>
      <c r="F34" s="84" t="s">
        <v>80</v>
      </c>
      <c r="G34" s="100">
        <f>'Rider Rates'!$B$49</f>
        <v>2.7588999999999999E-3</v>
      </c>
      <c r="H34" s="100"/>
      <c r="I34" s="100"/>
      <c r="J34" s="115">
        <f>SUM(G34:H34)</f>
        <v>2.7588999999999999E-3</v>
      </c>
      <c r="K34" s="94" t="s">
        <v>85</v>
      </c>
      <c r="L34" s="89">
        <f>ROUND(D34*G34,2)</f>
        <v>0</v>
      </c>
      <c r="M34" s="89"/>
      <c r="N34" s="89"/>
      <c r="O34" s="89">
        <f t="shared" si="1"/>
        <v>0</v>
      </c>
      <c r="P34" s="92">
        <f>'Rider Rates'!$D$49</f>
        <v>46022</v>
      </c>
      <c r="Q34" s="202"/>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f>IF($C$15&lt;0,0,IF($C$15&gt;833000,833000,$C$15))</f>
        <v>0</v>
      </c>
      <c r="E35" s="97" t="s">
        <v>19</v>
      </c>
      <c r="F35" s="84" t="s">
        <v>80</v>
      </c>
      <c r="G35" s="100"/>
      <c r="H35" s="100"/>
      <c r="I35" s="100">
        <f>'Rider Rates'!D53</f>
        <v>0</v>
      </c>
      <c r="J35" s="100">
        <f>SUM(G35:I35)</f>
        <v>0</v>
      </c>
      <c r="K35" s="94" t="s">
        <v>85</v>
      </c>
      <c r="L35" s="89"/>
      <c r="M35" s="89"/>
      <c r="N35" s="89">
        <f>D35*J35</f>
        <v>0</v>
      </c>
      <c r="O35" s="89">
        <f t="shared" si="1"/>
        <v>0</v>
      </c>
      <c r="P35" s="92">
        <f>'Rider Rates'!E53</f>
        <v>45883</v>
      </c>
      <c r="Q35" s="202"/>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IF($C$15&lt;0,0,$C$15)</f>
        <v>0</v>
      </c>
      <c r="E36" s="97" t="s">
        <v>19</v>
      </c>
      <c r="F36" s="84" t="s">
        <v>80</v>
      </c>
      <c r="G36" s="100"/>
      <c r="H36" s="100">
        <f>'Rider Rates'!$B$58</f>
        <v>2.1561400000000001E-2</v>
      </c>
      <c r="I36" s="100"/>
      <c r="J36" s="100">
        <f>SUM(G36:I36)</f>
        <v>2.1561400000000001E-2</v>
      </c>
      <c r="K36" s="94" t="s">
        <v>85</v>
      </c>
      <c r="L36" s="89"/>
      <c r="M36" s="89">
        <f>ROUND(D36*H36,2)</f>
        <v>0</v>
      </c>
      <c r="N36" s="116"/>
      <c r="O36" s="89">
        <f t="shared" si="1"/>
        <v>0</v>
      </c>
      <c r="P36" s="92">
        <f>'Rider Rates'!$D$58</f>
        <v>45929</v>
      </c>
      <c r="Q36" s="202"/>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99</v>
      </c>
      <c r="B37" s="72"/>
      <c r="C37" s="72"/>
      <c r="D37" s="111">
        <f>IF('Customer Info'!C35=TRUE,0,IF($C$15&lt;0,0,$C$15))</f>
        <v>0</v>
      </c>
      <c r="E37" s="97" t="s">
        <v>19</v>
      </c>
      <c r="F37" s="84" t="s">
        <v>80</v>
      </c>
      <c r="G37" s="100"/>
      <c r="H37" s="100"/>
      <c r="I37" s="100">
        <f>'Rider Rates'!$B$74+'Rider Rates'!$C$74</f>
        <v>0</v>
      </c>
      <c r="J37" s="100">
        <f>SUM(G37:I37)</f>
        <v>0</v>
      </c>
      <c r="K37" s="94" t="s">
        <v>85</v>
      </c>
      <c r="L37" s="89"/>
      <c r="M37" s="89"/>
      <c r="N37" s="189">
        <f>ROUND($D$37*'Rider Rates'!$B$74,2)+ROUND($D$37*'Rider Rates'!$C$74,2)</f>
        <v>0</v>
      </c>
      <c r="O37" s="89">
        <f>SUM(L37:N37)</f>
        <v>0</v>
      </c>
      <c r="P37" s="92">
        <f>'Rider Rates'!$D$74</f>
        <v>44531</v>
      </c>
      <c r="Q37" s="202"/>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c r="E38" s="97" t="s">
        <v>55</v>
      </c>
      <c r="F38" s="84"/>
      <c r="G38" s="100"/>
      <c r="H38" s="100"/>
      <c r="I38" s="121">
        <f>'Rider Rates'!$B$80</f>
        <v>0</v>
      </c>
      <c r="J38" s="121">
        <f>IF('Customer Info'!C35=TRUE,0,SUM(G38:I38))</f>
        <v>0</v>
      </c>
      <c r="K38" s="94"/>
      <c r="L38" s="89"/>
      <c r="M38" s="89"/>
      <c r="N38" s="89">
        <f>J38</f>
        <v>0</v>
      </c>
      <c r="O38" s="89">
        <f>SUM(L38:N38)</f>
        <v>0</v>
      </c>
      <c r="P38" s="92">
        <f>'Rider Rates'!$D$80</f>
        <v>45444</v>
      </c>
      <c r="Q38" s="202"/>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$N$21</f>
        <v>9.4</v>
      </c>
      <c r="E39" s="97" t="s">
        <v>92</v>
      </c>
      <c r="F39" s="84" t="s">
        <v>80</v>
      </c>
      <c r="G39" s="117"/>
      <c r="H39" s="118"/>
      <c r="I39" s="119">
        <f>'Rider Rates'!$B$87</f>
        <v>3.5344300000000002E-2</v>
      </c>
      <c r="J39" s="119">
        <f t="shared" si="0"/>
        <v>3.5344300000000002E-2</v>
      </c>
      <c r="K39" s="94"/>
      <c r="L39" s="89"/>
      <c r="M39" s="89"/>
      <c r="N39" s="89">
        <f>ROUND(D39*I39,2)</f>
        <v>0.33</v>
      </c>
      <c r="O39" s="89">
        <f>SUM(L39:N39)</f>
        <v>0.33</v>
      </c>
      <c r="P39" s="92">
        <f>'Rider Rates'!$D$87</f>
        <v>45929</v>
      </c>
      <c r="Q39" s="202"/>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$N$21</f>
        <v>9.4</v>
      </c>
      <c r="E40" s="97" t="s">
        <v>92</v>
      </c>
      <c r="F40" s="84" t="s">
        <v>80</v>
      </c>
      <c r="G40" s="120"/>
      <c r="H40" s="85"/>
      <c r="I40" s="119">
        <f>'Rider Rates'!$B$89</f>
        <v>7.8822199999999995E-2</v>
      </c>
      <c r="J40" s="119">
        <f t="shared" si="0"/>
        <v>7.8822199999999995E-2</v>
      </c>
      <c r="K40" s="94"/>
      <c r="L40" s="89"/>
      <c r="M40" s="89"/>
      <c r="N40" s="89">
        <f>ROUND(D40*I40,2)</f>
        <v>0.74</v>
      </c>
      <c r="O40" s="89">
        <f>SUM(L40:N40)</f>
        <v>0.74</v>
      </c>
      <c r="P40" s="92">
        <f>'Rider Rates'!$D$89</f>
        <v>45987</v>
      </c>
      <c r="Q40" s="202"/>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Rates'!$B$93</f>
        <v>21.84</v>
      </c>
      <c r="J41" s="121">
        <f t="shared" si="0"/>
        <v>21.84</v>
      </c>
      <c r="K41" s="94"/>
      <c r="L41" s="89"/>
      <c r="M41" s="89"/>
      <c r="N41" s="89">
        <f>I41</f>
        <v>21.84</v>
      </c>
      <c r="O41" s="89">
        <f>SUM(L41:N41)</f>
        <v>21.84</v>
      </c>
      <c r="P41" s="92">
        <f>'Rider Rates'!$D$93</f>
        <v>46022</v>
      </c>
      <c r="Q41" s="202"/>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175</v>
      </c>
      <c r="B42" s="72"/>
      <c r="C42" s="72"/>
      <c r="D42" s="111">
        <f>$D$25</f>
        <v>0</v>
      </c>
      <c r="E42" s="97" t="s">
        <v>19</v>
      </c>
      <c r="F42" s="84" t="s">
        <v>80</v>
      </c>
      <c r="G42" s="100"/>
      <c r="H42" s="100"/>
      <c r="I42" s="100"/>
      <c r="J42" s="100">
        <f>'Rider Rates'!$B$100</f>
        <v>0</v>
      </c>
      <c r="K42" s="94" t="s">
        <v>85</v>
      </c>
      <c r="L42" s="89"/>
      <c r="M42" s="89"/>
      <c r="N42" s="89"/>
      <c r="O42" s="89">
        <f>ROUND($D42*('Rider Rates'!B$100),2)</f>
        <v>0</v>
      </c>
      <c r="P42" s="92">
        <f>'Rider Rates'!$D$100</f>
        <v>44531</v>
      </c>
      <c r="Q42" s="203"/>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176</v>
      </c>
      <c r="B43" s="72"/>
      <c r="C43" s="72"/>
      <c r="D43" s="111">
        <f>$D$26</f>
        <v>0</v>
      </c>
      <c r="E43" s="97"/>
      <c r="F43" s="84"/>
      <c r="G43" s="100"/>
      <c r="H43" s="100"/>
      <c r="I43" s="100"/>
      <c r="J43" s="100">
        <f>'Rider Rates'!$B$101</f>
        <v>0</v>
      </c>
      <c r="K43" s="94" t="s">
        <v>85</v>
      </c>
      <c r="L43" s="89"/>
      <c r="M43" s="89"/>
      <c r="N43" s="89"/>
      <c r="O43" s="89">
        <f>ROUND($D43*('Rider Rates'!B$101),2)</f>
        <v>0</v>
      </c>
      <c r="P43" s="92">
        <f>'Rider Rates'!$D$101</f>
        <v>44531</v>
      </c>
      <c r="Q43" s="203"/>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$N$21</f>
        <v>9.4</v>
      </c>
      <c r="E44" s="97" t="s">
        <v>92</v>
      </c>
      <c r="F44" s="84" t="s">
        <v>80</v>
      </c>
      <c r="G44" s="120"/>
      <c r="H44" s="85"/>
      <c r="I44" s="119">
        <f>'Rider Rates'!$B$107</f>
        <v>0.24079249999999999</v>
      </c>
      <c r="J44" s="119">
        <f t="shared" si="0"/>
        <v>0.24079249999999999</v>
      </c>
      <c r="K44" s="94"/>
      <c r="L44" s="89"/>
      <c r="M44" s="89"/>
      <c r="N44" s="89">
        <f>ROUND(D44*I44,2)</f>
        <v>2.2599999999999998</v>
      </c>
      <c r="O44" s="89">
        <f t="shared" ref="O44:O49" si="2">SUM(L44:N44)</f>
        <v>2.2599999999999998</v>
      </c>
      <c r="P44" s="92">
        <f>'Rider Rates'!$D$107</f>
        <v>45987</v>
      </c>
      <c r="Q44" s="203"/>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177</v>
      </c>
      <c r="B45" s="72"/>
      <c r="C45" s="72"/>
      <c r="D45" s="113"/>
      <c r="E45" s="97" t="s">
        <v>55</v>
      </c>
      <c r="F45" s="84"/>
      <c r="G45" s="120"/>
      <c r="H45" s="85"/>
      <c r="I45" s="123">
        <f>'Rider Rates'!B123</f>
        <v>0.99</v>
      </c>
      <c r="J45" s="121">
        <f t="shared" si="0"/>
        <v>0.99</v>
      </c>
      <c r="K45" s="94"/>
      <c r="L45" s="89"/>
      <c r="M45" s="89"/>
      <c r="N45" s="125">
        <f>'Rider Rates'!B123</f>
        <v>0.99</v>
      </c>
      <c r="O45" s="89">
        <f t="shared" si="2"/>
        <v>0.99</v>
      </c>
      <c r="P45" s="92">
        <f>'Rider Rates'!D123</f>
        <v>45958</v>
      </c>
      <c r="Q45" s="203"/>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203"/>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IF($C$15&lt;1,0,$C$15)</f>
        <v>0</v>
      </c>
      <c r="E47" s="97" t="s">
        <v>19</v>
      </c>
      <c r="F47" s="126" t="s">
        <v>80</v>
      </c>
      <c r="G47" s="99"/>
      <c r="H47" s="99"/>
      <c r="I47" s="183">
        <f>'Rider Rates'!B119</f>
        <v>0</v>
      </c>
      <c r="J47" s="183">
        <f>SUM(G47:I47)</f>
        <v>0</v>
      </c>
      <c r="K47" s="94" t="s">
        <v>85</v>
      </c>
      <c r="L47" s="89"/>
      <c r="M47" s="89"/>
      <c r="N47" s="89">
        <f>D47*J47</f>
        <v>0</v>
      </c>
      <c r="O47" s="89">
        <f t="shared" si="2"/>
        <v>0</v>
      </c>
      <c r="P47" s="92">
        <f>'Rider Rates'!D119</f>
        <v>45657</v>
      </c>
      <c r="Q47" s="203"/>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166</v>
      </c>
      <c r="B48" s="72"/>
      <c r="C48" s="72"/>
      <c r="D48" s="111">
        <f>IF(C15&lt;0,0,IF(C15&gt;833000,833000,C15))</f>
        <v>0</v>
      </c>
      <c r="E48" s="97" t="s">
        <v>19</v>
      </c>
      <c r="F48" s="84" t="s">
        <v>80</v>
      </c>
      <c r="G48" s="195"/>
      <c r="H48" s="195"/>
      <c r="I48" s="195">
        <f>'Rider Rates'!$B$127</f>
        <v>0</v>
      </c>
      <c r="J48" s="195">
        <f>SUM(G48:I48)</f>
        <v>0</v>
      </c>
      <c r="K48" s="94" t="s">
        <v>85</v>
      </c>
      <c r="L48" s="196"/>
      <c r="M48" s="196"/>
      <c r="N48" s="196">
        <f>IF(D48*J48&gt;'Rider Rates'!$C$127,'Rider Rates'!$C$127,D48*J48)</f>
        <v>0</v>
      </c>
      <c r="O48" s="196">
        <f t="shared" si="2"/>
        <v>0</v>
      </c>
      <c r="P48" s="129">
        <f>'Rider Rates'!$E$127</f>
        <v>45883</v>
      </c>
      <c r="Q48" s="203"/>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167</v>
      </c>
      <c r="B49" s="72"/>
      <c r="C49" s="72"/>
      <c r="D49" s="4">
        <f>IF(C15&gt;833000,C15-833000,0)</f>
        <v>0</v>
      </c>
      <c r="E49" s="97" t="s">
        <v>19</v>
      </c>
      <c r="F49" s="84" t="s">
        <v>80</v>
      </c>
      <c r="G49" s="195"/>
      <c r="H49" s="195"/>
      <c r="I49" s="195">
        <f>'Rider Rates'!$B$128</f>
        <v>0</v>
      </c>
      <c r="J49" s="195">
        <f>SUM(G49:I49)</f>
        <v>0</v>
      </c>
      <c r="K49" s="94" t="s">
        <v>85</v>
      </c>
      <c r="L49" s="196"/>
      <c r="M49" s="196"/>
      <c r="N49" s="196">
        <f>D49*J49</f>
        <v>0</v>
      </c>
      <c r="O49" s="196">
        <f t="shared" si="2"/>
        <v>0</v>
      </c>
      <c r="P49" s="129">
        <f>'Rider Rates'!$E$128</f>
        <v>45883</v>
      </c>
      <c r="Q49" s="203"/>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109</v>
      </c>
      <c r="B50" s="72"/>
      <c r="C50" s="72"/>
      <c r="D50" s="111">
        <f>C14</f>
        <v>0</v>
      </c>
      <c r="E50" s="97" t="s">
        <v>19</v>
      </c>
      <c r="F50" s="126" t="s">
        <v>80</v>
      </c>
      <c r="G50" s="100"/>
      <c r="H50" s="100"/>
      <c r="I50" s="100">
        <f>'Rider Rates'!$B$132</f>
        <v>0</v>
      </c>
      <c r="J50" s="115">
        <f>SUM(G50:I50)</f>
        <v>0</v>
      </c>
      <c r="K50" s="94" t="s">
        <v>85</v>
      </c>
      <c r="L50" s="89"/>
      <c r="M50" s="89"/>
      <c r="N50" s="89">
        <f>D50*J50</f>
        <v>0</v>
      </c>
      <c r="O50" s="89">
        <f>SUM(L50:N50)</f>
        <v>0</v>
      </c>
      <c r="P50" s="92">
        <f>'Rider Rates'!$D$132</f>
        <v>44531</v>
      </c>
      <c r="Q50" s="203"/>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110</v>
      </c>
      <c r="B51" s="72"/>
      <c r="C51" s="72"/>
      <c r="D51" s="111"/>
      <c r="E51" s="97" t="s">
        <v>55</v>
      </c>
      <c r="F51" s="84" t="s">
        <v>80</v>
      </c>
      <c r="G51" s="127"/>
      <c r="H51" s="127"/>
      <c r="I51" s="127">
        <f>'Rider Rates'!$B$139</f>
        <v>0</v>
      </c>
      <c r="J51" s="127">
        <f>SUM(G51:I51)</f>
        <v>0</v>
      </c>
      <c r="K51" s="94"/>
      <c r="L51" s="128"/>
      <c r="M51" s="128"/>
      <c r="N51" s="128">
        <f>J51</f>
        <v>0</v>
      </c>
      <c r="O51" s="128">
        <f>SUM(L51:N51)</f>
        <v>0</v>
      </c>
      <c r="P51" s="129">
        <f>'Rider Rates'!$D$139</f>
        <v>44531</v>
      </c>
      <c r="Q51" s="203"/>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111</v>
      </c>
      <c r="B52" s="72"/>
      <c r="C52" s="72"/>
      <c r="D52" s="111"/>
      <c r="E52" s="97"/>
      <c r="F52" s="84"/>
      <c r="G52" s="127"/>
      <c r="H52" s="127"/>
      <c r="I52" s="127"/>
      <c r="J52" s="127"/>
      <c r="K52" s="94"/>
      <c r="L52" s="128"/>
      <c r="M52" s="128"/>
      <c r="N52" s="128"/>
      <c r="O52" s="128"/>
      <c r="P52" s="129"/>
      <c r="Q52" s="203"/>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130" t="s">
        <v>112</v>
      </c>
      <c r="B53" s="69"/>
      <c r="C53" s="69"/>
      <c r="D53" s="131"/>
      <c r="E53" s="132"/>
      <c r="F53" s="133"/>
      <c r="G53" s="133"/>
      <c r="H53" s="133"/>
      <c r="I53" s="133"/>
      <c r="J53" s="133"/>
      <c r="K53" s="134"/>
      <c r="L53" s="105">
        <f>SUM(L25:L52)</f>
        <v>0</v>
      </c>
      <c r="M53" s="105">
        <f>SUM(M25:M52)</f>
        <v>0</v>
      </c>
      <c r="N53" s="105">
        <f>SUM(N25:N52)</f>
        <v>26.16</v>
      </c>
      <c r="O53" s="105">
        <f>SUM(O25:O52)</f>
        <v>26.16</v>
      </c>
      <c r="P53" s="135"/>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c r="B54" s="72"/>
      <c r="C54" s="72"/>
      <c r="D54" s="111"/>
      <c r="E54" s="97"/>
      <c r="F54" s="84"/>
      <c r="G54" s="84"/>
      <c r="H54" s="84"/>
      <c r="I54" s="84"/>
      <c r="J54" s="101"/>
      <c r="K54" s="94"/>
      <c r="L54" s="84"/>
      <c r="M54" s="105"/>
      <c r="N54" s="84"/>
      <c r="O54" s="84"/>
      <c r="P54" s="137"/>
      <c r="Q54" s="84"/>
      <c r="R54" s="197"/>
      <c r="S54" s="94"/>
      <c r="T54" s="95"/>
      <c r="U54" s="72"/>
      <c r="V54" s="94"/>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204" t="s">
        <v>178</v>
      </c>
      <c r="B55" s="106"/>
      <c r="C55" s="106"/>
      <c r="D55" s="106"/>
      <c r="E55" s="106"/>
      <c r="F55" s="106"/>
      <c r="G55" s="106"/>
      <c r="H55" s="106"/>
      <c r="I55" s="106"/>
      <c r="J55" s="106"/>
      <c r="K55" s="106"/>
      <c r="L55" s="139">
        <f>L21+L53</f>
        <v>0</v>
      </c>
      <c r="M55" s="139">
        <f>M21+M53</f>
        <v>0</v>
      </c>
      <c r="N55" s="139">
        <f>N21+N53</f>
        <v>35.56</v>
      </c>
      <c r="O55" s="140">
        <f>O21+O53</f>
        <v>35.56</v>
      </c>
      <c r="P55" s="140"/>
      <c r="Q55" s="84"/>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84"/>
      <c r="B56" s="72"/>
      <c r="C56" s="72"/>
      <c r="D56" s="72"/>
      <c r="E56" s="72"/>
      <c r="F56" s="72"/>
      <c r="G56" s="72"/>
      <c r="H56" s="72"/>
      <c r="I56" s="72"/>
      <c r="J56" s="72"/>
      <c r="K56" s="72"/>
      <c r="L56" s="72"/>
      <c r="M56" s="72"/>
      <c r="N56" s="72"/>
      <c r="O56" s="72"/>
      <c r="P56" s="72"/>
      <c r="Q56" s="102"/>
      <c r="R56" s="102"/>
      <c r="S56" s="102"/>
      <c r="T56" s="136"/>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85"/>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02" t="s">
        <v>114</v>
      </c>
      <c r="B58" s="72"/>
      <c r="C58" s="72"/>
      <c r="D58" s="102"/>
      <c r="E58" s="72"/>
      <c r="F58" s="72"/>
      <c r="G58" s="72"/>
      <c r="H58" s="72"/>
      <c r="I58" s="72"/>
      <c r="J58" s="72"/>
      <c r="K58" s="72"/>
      <c r="L58" s="72"/>
      <c r="M58" s="72"/>
      <c r="N58" s="72"/>
      <c r="O58" s="95">
        <f>O19+O53</f>
        <v>35.56</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185"/>
      <c r="B59" s="102"/>
      <c r="C59" s="102"/>
      <c r="D59" s="102"/>
      <c r="E59" s="102"/>
      <c r="F59" s="102"/>
      <c r="G59" s="102"/>
      <c r="H59" s="10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69" t="s">
        <v>115</v>
      </c>
      <c r="B60" s="72"/>
      <c r="C60" s="72"/>
      <c r="D60" s="72"/>
      <c r="E60" s="72"/>
      <c r="F60" s="72"/>
      <c r="G60" s="72"/>
      <c r="H60" s="72"/>
      <c r="I60" s="72"/>
      <c r="J60" s="72"/>
      <c r="K60" s="72"/>
      <c r="L60" s="72"/>
      <c r="M60" s="72"/>
      <c r="N60" s="72"/>
      <c r="O60" s="141">
        <f>IF($C$15&lt;0,O55,IF(O55&gt;O58,O55,O58))</f>
        <v>35.56</v>
      </c>
      <c r="P60" s="84"/>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85"/>
    </row>
    <row r="62" spans="1:221" x14ac:dyDescent="0.2">
      <c r="A62" s="185"/>
      <c r="I62" s="102" t="s">
        <v>116</v>
      </c>
      <c r="J62" s="102"/>
      <c r="K62" s="102"/>
      <c r="L62" s="143"/>
      <c r="M62" s="143"/>
      <c r="N62" s="143"/>
      <c r="O62" s="143">
        <f>ROUND(IF($C$15&lt;1,0,O55/($C$15*100)*10000),2)</f>
        <v>0</v>
      </c>
      <c r="P62" s="144" t="s">
        <v>117</v>
      </c>
    </row>
    <row r="63" spans="1:221" x14ac:dyDescent="0.2">
      <c r="A63" s="185"/>
      <c r="I63" s="146"/>
      <c r="J63" s="72"/>
      <c r="K63" s="72"/>
      <c r="L63" s="72"/>
      <c r="M63" s="72"/>
      <c r="N63" s="72"/>
      <c r="O63" s="147"/>
      <c r="P63" s="59"/>
    </row>
    <row r="64" spans="1:221" x14ac:dyDescent="0.2">
      <c r="A64" s="185"/>
    </row>
    <row r="65" spans="1:1" x14ac:dyDescent="0.2">
      <c r="A65" s="185"/>
    </row>
    <row r="66" spans="1:1" x14ac:dyDescent="0.2">
      <c r="A66" s="185"/>
    </row>
    <row r="67" spans="1:1" x14ac:dyDescent="0.2">
      <c r="A67" s="185"/>
    </row>
    <row r="68" spans="1:1" x14ac:dyDescent="0.2">
      <c r="A68" s="185"/>
    </row>
    <row r="69" spans="1:1" x14ac:dyDescent="0.2">
      <c r="A69" s="185"/>
    </row>
    <row r="70" spans="1:1" x14ac:dyDescent="0.2">
      <c r="A70" s="185"/>
    </row>
  </sheetData>
  <sheetProtection algorithmName="SHA-512" hashValue="xzJB+4asCZpZ5kq9yz7KhIGsmEzisf4hG92f6zTEv338iy/yBXv0jDOmiD/syihJfknAY7YlGvOzG/0T6hG1Qw==" saltValue="6yho3gZZBEbGy+q1Go/VvA==" spinCount="100000" sheet="1" objects="1" scenarios="1"/>
  <mergeCells count="9">
    <mergeCell ref="A12:I12"/>
    <mergeCell ref="G17:J17"/>
    <mergeCell ref="L17:O17"/>
    <mergeCell ref="A1:P1"/>
    <mergeCell ref="A2:P2"/>
    <mergeCell ref="A3:P3"/>
    <mergeCell ref="A4:P4"/>
    <mergeCell ref="A6:Q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6"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9" r:id="rId8" name="Button 5">
              <controlPr defaultSize="0" print="0" autoFill="0" autoPict="0" macro="[0]!Info">
                <anchor moveWithCells="1">
                  <from>
                    <xdr:col>14</xdr:col>
                    <xdr:colOff>371475</xdr:colOff>
                    <xdr:row>76</xdr:row>
                    <xdr:rowOff>9525</xdr:rowOff>
                  </from>
                  <to>
                    <xdr:col>14</xdr:col>
                    <xdr:colOff>723900</xdr:colOff>
                    <xdr:row>77</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A0EDF-21E1-44D3-9848-C02BBCC03712}">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48" t="s">
        <v>50</v>
      </c>
      <c r="B1" s="448"/>
      <c r="C1" s="448"/>
      <c r="D1" s="448"/>
      <c r="E1" s="448"/>
      <c r="F1" s="448"/>
      <c r="G1" s="448"/>
      <c r="H1" s="448"/>
      <c r="I1" s="448"/>
      <c r="J1" s="448"/>
      <c r="K1" s="448"/>
      <c r="L1" s="448"/>
      <c r="M1" s="448"/>
      <c r="N1" s="448"/>
      <c r="O1" s="448"/>
      <c r="P1" s="448"/>
    </row>
    <row r="2" spans="1:30" ht="20.25" x14ac:dyDescent="0.3">
      <c r="A2" s="432" t="s">
        <v>138</v>
      </c>
      <c r="B2" s="432"/>
      <c r="C2" s="432"/>
      <c r="D2" s="432"/>
      <c r="E2" s="432"/>
      <c r="F2" s="432"/>
      <c r="G2" s="432"/>
      <c r="H2" s="432"/>
      <c r="I2" s="432"/>
      <c r="J2" s="432"/>
      <c r="K2" s="432"/>
      <c r="L2" s="432"/>
      <c r="M2" s="432"/>
      <c r="N2" s="432"/>
      <c r="O2" s="432"/>
      <c r="P2" s="432"/>
    </row>
    <row r="3" spans="1:30" ht="18" x14ac:dyDescent="0.25">
      <c r="A3" s="449" t="s">
        <v>163</v>
      </c>
      <c r="B3" s="449"/>
      <c r="C3" s="449"/>
      <c r="D3" s="449"/>
      <c r="E3" s="449"/>
      <c r="F3" s="449"/>
      <c r="G3" s="449"/>
      <c r="H3" s="449"/>
      <c r="I3" s="449"/>
      <c r="J3" s="449"/>
      <c r="K3" s="449"/>
      <c r="L3" s="449"/>
      <c r="M3" s="449"/>
      <c r="N3" s="449"/>
      <c r="O3" s="449"/>
      <c r="P3" s="449"/>
    </row>
    <row r="4" spans="1:30"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30" ht="15" x14ac:dyDescent="0.2">
      <c r="A5" s="55"/>
      <c r="B5" s="55"/>
      <c r="C5" s="55"/>
      <c r="D5" s="55"/>
      <c r="E5" s="55"/>
      <c r="F5" s="55"/>
      <c r="G5" s="55"/>
      <c r="H5" s="55"/>
      <c r="I5" s="55"/>
      <c r="J5" s="55"/>
      <c r="K5" s="55"/>
    </row>
    <row r="6" spans="1:30" x14ac:dyDescent="0.2">
      <c r="A6" s="56">
        <f ca="1">TODAY()</f>
        <v>46051</v>
      </c>
      <c r="B6" s="76" t="s">
        <v>168</v>
      </c>
      <c r="C6" s="56"/>
      <c r="D6" s="56"/>
      <c r="E6" s="56"/>
      <c r="F6" s="56"/>
      <c r="G6" s="56"/>
      <c r="H6" s="56"/>
      <c r="I6" s="56"/>
    </row>
    <row r="7" spans="1:30" ht="26.25" x14ac:dyDescent="0.4">
      <c r="A7" s="450"/>
      <c r="B7" s="450"/>
      <c r="C7" s="450"/>
      <c r="D7" s="450"/>
      <c r="E7" s="450"/>
      <c r="F7" s="450"/>
      <c r="G7" s="450"/>
      <c r="H7" s="450"/>
      <c r="I7" s="450"/>
      <c r="J7" s="450"/>
      <c r="K7" s="450"/>
      <c r="L7" s="450"/>
      <c r="M7" s="450"/>
      <c r="N7" s="450"/>
      <c r="O7" s="450"/>
      <c r="P7" s="450"/>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2</v>
      </c>
      <c r="C11" s="63" t="str">
        <f>LOOKUP(B11,R11:AD11,R12:AD12)</f>
        <v>February</v>
      </c>
      <c r="D11" s="64">
        <f>'Customer Info'!C9</f>
        <v>2026</v>
      </c>
      <c r="S11">
        <v>1</v>
      </c>
      <c r="T11">
        <v>2</v>
      </c>
      <c r="U11">
        <v>3</v>
      </c>
      <c r="V11">
        <v>4</v>
      </c>
      <c r="W11">
        <v>5</v>
      </c>
      <c r="X11">
        <v>6</v>
      </c>
      <c r="Y11">
        <v>7</v>
      </c>
      <c r="Z11">
        <v>8</v>
      </c>
      <c r="AA11">
        <v>9</v>
      </c>
      <c r="AB11">
        <v>10</v>
      </c>
      <c r="AC11">
        <v>11</v>
      </c>
      <c r="AD11">
        <v>12</v>
      </c>
    </row>
    <row r="12" spans="1:30" x14ac:dyDescent="0.2">
      <c r="A12" s="443"/>
      <c r="B12" s="443"/>
      <c r="C12" s="443"/>
      <c r="D12" s="443"/>
      <c r="E12" s="443"/>
      <c r="F12" s="443"/>
      <c r="G12" s="443"/>
      <c r="H12" s="443"/>
      <c r="I12" s="443"/>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44" t="s">
        <v>71</v>
      </c>
      <c r="H19" s="445"/>
      <c r="I19" s="445"/>
      <c r="J19" s="446"/>
      <c r="K19" s="163"/>
      <c r="L19" s="447" t="s">
        <v>72</v>
      </c>
      <c r="M19" s="447"/>
      <c r="N19" s="447"/>
      <c r="O19" s="447"/>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5.5215000000000004E-3</v>
      </c>
      <c r="J27" s="100">
        <f t="shared" ref="J27:J47" si="0">SUM(G27:I27)</f>
        <v>5.5215000000000004E-3</v>
      </c>
      <c r="K27" s="94" t="s">
        <v>85</v>
      </c>
      <c r="L27" s="89"/>
      <c r="M27" s="89"/>
      <c r="N27" s="89">
        <f t="shared" ref="N27:N32" si="1">ROUND(D27*I27,2)</f>
        <v>0</v>
      </c>
      <c r="O27" s="89">
        <f t="shared" ref="O27:O48" si="2">SUM(L27:N27)</f>
        <v>0</v>
      </c>
      <c r="P27" s="92">
        <f>'Rider Rates'!$D$4</f>
        <v>46022</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46022</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f>'Rider Rates'!B22</f>
        <v>7.6880000000000004E-2</v>
      </c>
      <c r="H34" s="100"/>
      <c r="I34" s="100"/>
      <c r="J34" s="115">
        <f>SUM(G34:H34)</f>
        <v>7.6880000000000004E-2</v>
      </c>
      <c r="K34" s="94" t="s">
        <v>85</v>
      </c>
      <c r="L34" s="89">
        <f>ROUND(D34*G34,2)</f>
        <v>0</v>
      </c>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f>'Rider Rates'!B38</f>
        <v>0.15807350000000001</v>
      </c>
      <c r="H35" s="100"/>
      <c r="I35" s="100"/>
      <c r="J35" s="115">
        <f>SUM(G35:H35)</f>
        <v>0.15807350000000001</v>
      </c>
      <c r="K35" s="94" t="s">
        <v>85</v>
      </c>
      <c r="L35" s="89">
        <f>ROUND(D35*G35,2)</f>
        <v>0</v>
      </c>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f>'Rider Rates'!$B$49</f>
        <v>2.7588999999999999E-3</v>
      </c>
      <c r="H37" s="100"/>
      <c r="I37" s="100"/>
      <c r="J37" s="115">
        <f>SUM(G37:H37)</f>
        <v>2.7588999999999999E-3</v>
      </c>
      <c r="K37" s="94" t="s">
        <v>85</v>
      </c>
      <c r="L37" s="89">
        <f>ROUND(D37*G37,2)</f>
        <v>0</v>
      </c>
      <c r="M37" s="89"/>
      <c r="N37" s="89"/>
      <c r="O37" s="89">
        <f t="shared" si="2"/>
        <v>0</v>
      </c>
      <c r="P37" s="92">
        <f>'Rider Rates'!$D$49</f>
        <v>46022</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2.1561400000000001E-2</v>
      </c>
      <c r="I39" s="100"/>
      <c r="J39" s="100">
        <f>SUM(G39:I39)</f>
        <v>2.1561400000000001E-2</v>
      </c>
      <c r="K39" s="94" t="s">
        <v>85</v>
      </c>
      <c r="L39" s="89"/>
      <c r="M39" s="89">
        <f>ROUND(D39*H39,2)</f>
        <v>0</v>
      </c>
      <c r="N39" s="116"/>
      <c r="O39" s="89">
        <f t="shared" si="2"/>
        <v>0</v>
      </c>
      <c r="P39" s="92">
        <f>'Rider Rates'!$D$58</f>
        <v>45929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3.5344300000000002E-2</v>
      </c>
      <c r="J42" s="119">
        <f t="shared" si="0"/>
        <v>3.5344300000000002E-2</v>
      </c>
      <c r="K42" s="94"/>
      <c r="L42" s="89"/>
      <c r="M42" s="89"/>
      <c r="N42" s="89">
        <f>ROUND(D42*I42,2)</f>
        <v>0.33</v>
      </c>
      <c r="O42" s="89">
        <f t="shared" si="2"/>
        <v>0.33</v>
      </c>
      <c r="P42" s="92">
        <f>'Rider Rates'!$D$87</f>
        <v>45929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7.8822199999999995E-2</v>
      </c>
      <c r="J43" s="119">
        <f t="shared" si="0"/>
        <v>7.8822199999999995E-2</v>
      </c>
      <c r="K43" s="94"/>
      <c r="L43" s="89"/>
      <c r="M43" s="89"/>
      <c r="N43" s="89">
        <f>ROUND(D43*I43,2)</f>
        <v>0.74</v>
      </c>
      <c r="O43" s="89">
        <f t="shared" si="2"/>
        <v>0.74</v>
      </c>
      <c r="P43" s="92">
        <f>'Rider Rates'!$D$89</f>
        <v>45987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21.84</v>
      </c>
      <c r="J44" s="121">
        <f t="shared" si="0"/>
        <v>21.84</v>
      </c>
      <c r="K44" s="94"/>
      <c r="L44" s="89"/>
      <c r="M44" s="89"/>
      <c r="N44" s="89">
        <f>I44</f>
        <v>21.84</v>
      </c>
      <c r="O44" s="89">
        <f t="shared" si="2"/>
        <v>21.84</v>
      </c>
      <c r="P44" s="92">
        <f>'Rider Rates'!$D$93</f>
        <v>46022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0.24079249999999999</v>
      </c>
      <c r="J46" s="119">
        <f t="shared" si="0"/>
        <v>0.24079249999999999</v>
      </c>
      <c r="K46" s="94"/>
      <c r="L46" s="89"/>
      <c r="M46" s="89"/>
      <c r="N46" s="89">
        <f>ROUND(D46*I46,2)</f>
        <v>2.2599999999999998</v>
      </c>
      <c r="O46" s="89">
        <f t="shared" si="2"/>
        <v>2.2599999999999998</v>
      </c>
      <c r="P46" s="92">
        <f>'Rider Rates'!$D$107</f>
        <v>45987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 t="shared" si="0"/>
        <v>0.99</v>
      </c>
      <c r="K47" s="94"/>
      <c r="L47" s="89"/>
      <c r="M47" s="89"/>
      <c r="N47" s="125">
        <f>I47</f>
        <v>0.99</v>
      </c>
      <c r="O47" s="89">
        <f t="shared" si="2"/>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26.16</v>
      </c>
      <c r="O55" s="105">
        <f>SUM(O27:O54)</f>
        <v>26.16</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35.56</v>
      </c>
      <c r="O57" s="140">
        <f>O23+O55</f>
        <v>35.56</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35.56</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35.56</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s/jcV3f7pfBBBmz8OjiQm0dSTga6oP9+FPHMF36USZWXIzR6Wi/vgTZ9wFxz5Ja9wfO97Sn1fW152tt+Y3TOeA==" saltValue="iBoKQRLIztoJ+6LnzITL9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2290"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2291"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2"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3"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4"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A80F-434F-4917-9DF8-825535D6998D}">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179</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46051</v>
      </c>
      <c r="B6" s="76" t="s">
        <v>180</v>
      </c>
      <c r="C6" s="56"/>
      <c r="D6" s="56"/>
      <c r="E6" s="56"/>
      <c r="F6" s="56"/>
      <c r="G6" s="56"/>
      <c r="H6" s="56"/>
      <c r="I6" s="56"/>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2</v>
      </c>
      <c r="C10" s="63" t="str">
        <f>LOOKUP(B10,R10:AD10,R11:AD11)</f>
        <v>February</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
      <c r="A18" s="158" t="s">
        <v>2</v>
      </c>
      <c r="B18" s="158"/>
      <c r="C18" s="210" t="s">
        <v>2</v>
      </c>
      <c r="D18" s="452" t="s">
        <v>2</v>
      </c>
      <c r="E18" s="452"/>
      <c r="F18" s="452"/>
      <c r="G18" s="452"/>
      <c r="H18" s="452"/>
      <c r="K18" s="158"/>
      <c r="L18" s="158"/>
      <c r="M18" s="158"/>
      <c r="N18" s="158"/>
      <c r="O18" s="188"/>
    </row>
    <row r="19" spans="1:30" x14ac:dyDescent="0.2">
      <c r="A19" s="158" t="s">
        <v>2</v>
      </c>
      <c r="B19" s="158"/>
      <c r="C19" s="210" t="s">
        <v>2</v>
      </c>
      <c r="D19" s="452" t="s">
        <v>2</v>
      </c>
      <c r="E19" s="452"/>
      <c r="F19" s="452"/>
      <c r="G19" s="452"/>
      <c r="H19" s="452"/>
      <c r="I19" s="57"/>
      <c r="J19" s="57"/>
      <c r="K19" s="158"/>
      <c r="L19" s="158"/>
      <c r="M19" s="158"/>
      <c r="N19" s="158"/>
      <c r="O19" s="188"/>
    </row>
    <row r="20" spans="1:30" x14ac:dyDescent="0.2">
      <c r="A20" s="158"/>
      <c r="B20" s="158"/>
      <c r="C20" s="160"/>
      <c r="D20" s="160"/>
      <c r="E20" s="160"/>
      <c r="F20" s="160"/>
      <c r="G20" s="57"/>
      <c r="H20" s="57"/>
      <c r="I20" s="57"/>
      <c r="J20" s="57"/>
      <c r="K20" s="158"/>
      <c r="L20" s="158"/>
      <c r="M20" s="158"/>
      <c r="N20" s="158"/>
      <c r="O20" s="158"/>
    </row>
    <row r="21" spans="1:30" x14ac:dyDescent="0.2">
      <c r="A21" s="162" t="s">
        <v>70</v>
      </c>
      <c r="B21" s="163"/>
      <c r="C21" s="163"/>
      <c r="D21" s="163"/>
      <c r="E21" s="163"/>
      <c r="F21" s="163"/>
      <c r="G21" s="444" t="s">
        <v>71</v>
      </c>
      <c r="H21" s="445"/>
      <c r="I21" s="445"/>
      <c r="J21" s="446"/>
      <c r="K21" s="163"/>
      <c r="L21" s="447" t="s">
        <v>72</v>
      </c>
      <c r="M21" s="447"/>
      <c r="N21" s="447"/>
      <c r="O21" s="447"/>
    </row>
    <row r="22" spans="1:30" x14ac:dyDescent="0.2">
      <c r="G22" s="164" t="s">
        <v>73</v>
      </c>
      <c r="H22" s="164" t="s">
        <v>74</v>
      </c>
      <c r="I22" s="164" t="s">
        <v>75</v>
      </c>
      <c r="J22" s="118" t="s">
        <v>76</v>
      </c>
      <c r="L22" s="165" t="s">
        <v>73</v>
      </c>
      <c r="M22" s="165" t="s">
        <v>74</v>
      </c>
      <c r="N22" s="165" t="s">
        <v>75</v>
      </c>
      <c r="O22" s="165" t="s">
        <v>76</v>
      </c>
      <c r="P22" s="166" t="s">
        <v>77</v>
      </c>
    </row>
    <row r="23" spans="1:30" x14ac:dyDescent="0.2">
      <c r="A23" t="s">
        <v>78</v>
      </c>
      <c r="G23" s="189"/>
      <c r="H23" s="189"/>
      <c r="I23" s="189">
        <v>9.4</v>
      </c>
      <c r="J23" s="189">
        <f>SUM(G23:I23)</f>
        <v>9.4</v>
      </c>
      <c r="L23" s="190"/>
      <c r="M23" s="190"/>
      <c r="N23" s="190">
        <f>I23</f>
        <v>9.4</v>
      </c>
      <c r="O23" s="128">
        <f>SUM(L23:N23)</f>
        <v>9.4</v>
      </c>
      <c r="P23" s="92">
        <v>44531</v>
      </c>
    </row>
    <row r="24" spans="1:30" x14ac:dyDescent="0.2">
      <c r="A24" t="s">
        <v>165</v>
      </c>
      <c r="D24" s="4">
        <f>D16</f>
        <v>0</v>
      </c>
      <c r="E24" s="97" t="s">
        <v>19</v>
      </c>
      <c r="F24" s="84" t="s">
        <v>80</v>
      </c>
      <c r="G24" s="191"/>
      <c r="H24" s="189"/>
      <c r="I24" s="211">
        <v>2.05802E-2</v>
      </c>
      <c r="J24" s="211">
        <f>SUM(G24:I24)</f>
        <v>2.05802E-2</v>
      </c>
      <c r="K24" s="94" t="s">
        <v>85</v>
      </c>
      <c r="L24" s="189"/>
      <c r="M24" s="190"/>
      <c r="N24" s="212">
        <f>D24*J24</f>
        <v>0</v>
      </c>
      <c r="O24" s="128">
        <f>N24</f>
        <v>0</v>
      </c>
      <c r="P24" s="92"/>
    </row>
    <row r="25" spans="1:30" x14ac:dyDescent="0.2">
      <c r="A25" s="144" t="s">
        <v>82</v>
      </c>
      <c r="B25" s="144"/>
      <c r="C25" s="144"/>
      <c r="D25" s="170"/>
      <c r="E25" s="170"/>
      <c r="F25" s="144"/>
      <c r="G25" s="144"/>
      <c r="H25" s="144"/>
      <c r="I25" s="144"/>
      <c r="J25" s="144"/>
      <c r="K25" s="172"/>
      <c r="L25" s="171"/>
      <c r="M25" s="171"/>
      <c r="N25" s="171">
        <f>SUM(N23:N24)</f>
        <v>9.4</v>
      </c>
      <c r="O25" s="171">
        <f>SUM(O23:O24)</f>
        <v>9.4</v>
      </c>
    </row>
    <row r="26" spans="1:30" x14ac:dyDescent="0.2">
      <c r="A26" s="192"/>
      <c r="B26" s="192"/>
      <c r="C26" s="193"/>
      <c r="D26" s="193"/>
      <c r="E26" s="193"/>
      <c r="F26" s="193"/>
      <c r="G26" s="194"/>
      <c r="H26" s="194"/>
      <c r="I26" s="194"/>
      <c r="J26" s="194"/>
      <c r="K26" s="192"/>
      <c r="L26" s="192"/>
      <c r="M26" s="192"/>
      <c r="N26" s="192"/>
      <c r="O26" s="192"/>
      <c r="P26" s="192"/>
    </row>
    <row r="27" spans="1:30" x14ac:dyDescent="0.2">
      <c r="A27" s="155" t="s">
        <v>83</v>
      </c>
      <c r="D27" s="4"/>
      <c r="E27" s="4"/>
      <c r="K27" s="154"/>
      <c r="L27" s="154"/>
      <c r="M27" s="154"/>
      <c r="N27" s="154"/>
      <c r="O27" s="213"/>
      <c r="P27" s="213"/>
    </row>
    <row r="28" spans="1:30" x14ac:dyDescent="0.2">
      <c r="A28" s="144"/>
      <c r="D28" s="4"/>
      <c r="E28" s="4"/>
      <c r="K28" s="154"/>
      <c r="L28" s="154"/>
      <c r="M28" s="154"/>
      <c r="N28" s="154"/>
      <c r="O28" s="213"/>
    </row>
    <row r="29" spans="1:30" x14ac:dyDescent="0.2">
      <c r="A29" s="72" t="s">
        <v>84</v>
      </c>
      <c r="D29" s="4">
        <f>IF($C$16&lt;0,0,IF($C$16&gt;833000,833000,$C$16))</f>
        <v>0</v>
      </c>
      <c r="E29" s="152" t="s">
        <v>19</v>
      </c>
      <c r="F29" s="1" t="s">
        <v>80</v>
      </c>
      <c r="G29" s="167"/>
      <c r="H29" s="191"/>
      <c r="I29" s="100">
        <f>'Rider Rates'!$B$4</f>
        <v>5.5215000000000004E-3</v>
      </c>
      <c r="J29" s="214">
        <f>SUM(G29:I29)</f>
        <v>5.5215000000000004E-3</v>
      </c>
      <c r="K29" s="154" t="s">
        <v>85</v>
      </c>
      <c r="L29" s="189"/>
      <c r="M29" s="189"/>
      <c r="N29" s="189">
        <f>ROUND($D29*I29,2)</f>
        <v>0</v>
      </c>
      <c r="O29" s="189">
        <f>SUM(L29:N29)</f>
        <v>0</v>
      </c>
      <c r="P29" s="92">
        <f>'Rider Rates'!$D$4</f>
        <v>46022</v>
      </c>
    </row>
    <row r="30" spans="1:30" x14ac:dyDescent="0.2">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46022</v>
      </c>
    </row>
    <row r="31" spans="1:30" x14ac:dyDescent="0.2">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
      <c r="A34" s="72" t="s">
        <v>91</v>
      </c>
      <c r="B34" s="72"/>
      <c r="C34" s="72"/>
      <c r="D34" s="217">
        <f>$N$25</f>
        <v>9.4</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
      <c r="A35" s="76" t="s">
        <v>93</v>
      </c>
      <c r="B35" s="72"/>
      <c r="C35" s="72"/>
      <c r="D35" s="111">
        <f>'Customer Info'!$B$22+'Customer Info'!$B$23-'Customer Info'!$B$24</f>
        <v>0</v>
      </c>
      <c r="E35" s="97" t="s">
        <v>19</v>
      </c>
      <c r="F35" s="84" t="s">
        <v>80</v>
      </c>
      <c r="G35" s="100">
        <f>'Rider Rates'!B23</f>
        <v>7.6880000000000004E-2</v>
      </c>
      <c r="H35" s="100"/>
      <c r="I35" s="100"/>
      <c r="J35" s="115">
        <f>SUM(G35:H35)</f>
        <v>7.6880000000000004E-2</v>
      </c>
      <c r="K35" s="94" t="s">
        <v>85</v>
      </c>
      <c r="L35" s="89">
        <f>ROUND(D35*G35,2)</f>
        <v>0</v>
      </c>
      <c r="M35" s="89"/>
      <c r="N35" s="89"/>
      <c r="O35" s="89">
        <f t="shared" si="0"/>
        <v>0</v>
      </c>
      <c r="P35" s="92">
        <f>'Rider Rates'!$D$23</f>
        <v>45809</v>
      </c>
    </row>
    <row r="36" spans="1:221" x14ac:dyDescent="0.2">
      <c r="A36" s="72" t="s">
        <v>94</v>
      </c>
      <c r="B36" s="72"/>
      <c r="C36" s="72"/>
      <c r="D36" s="111">
        <f>'Customer Info'!$B$22+'Customer Info'!$B$23-'Customer Info'!$B$24</f>
        <v>0</v>
      </c>
      <c r="E36" s="97" t="s">
        <v>19</v>
      </c>
      <c r="F36" s="84" t="s">
        <v>80</v>
      </c>
      <c r="G36" s="100">
        <f>'Rider Rates'!B37</f>
        <v>1.8180000000000002E-2</v>
      </c>
      <c r="H36" s="100"/>
      <c r="I36" s="100"/>
      <c r="J36" s="115">
        <f>SUM(G36:H36)</f>
        <v>1.8180000000000002E-2</v>
      </c>
      <c r="K36" s="94" t="s">
        <v>85</v>
      </c>
      <c r="L36" s="89">
        <f>ROUND(D36*G36,2)</f>
        <v>0</v>
      </c>
      <c r="M36" s="89"/>
      <c r="N36" s="89"/>
      <c r="O36" s="89">
        <f t="shared" si="0"/>
        <v>0</v>
      </c>
      <c r="P36" s="92">
        <f>'Rider Rates'!$D$37</f>
        <v>45809</v>
      </c>
    </row>
    <row r="37" spans="1:221" x14ac:dyDescent="0.2">
      <c r="A37" s="76" t="s">
        <v>95</v>
      </c>
      <c r="B37" s="72"/>
      <c r="C37" s="72"/>
      <c r="D37" s="111">
        <f>'Customer Info'!$B$22+'Customer Info'!$B$23-'Customer Info'!$B$24</f>
        <v>0</v>
      </c>
      <c r="E37" s="97" t="s">
        <v>19</v>
      </c>
      <c r="F37" s="84" t="s">
        <v>80</v>
      </c>
      <c r="G37" s="100">
        <f>'Rider Rates'!$B$49</f>
        <v>2.7588999999999999E-3</v>
      </c>
      <c r="H37" s="100"/>
      <c r="I37" s="100"/>
      <c r="J37" s="115">
        <f>SUM(G37:H37)</f>
        <v>2.7588999999999999E-3</v>
      </c>
      <c r="K37" s="94" t="s">
        <v>85</v>
      </c>
      <c r="L37" s="89">
        <f>ROUND(D37*G37,2)</f>
        <v>0</v>
      </c>
      <c r="M37" s="89"/>
      <c r="N37" s="89"/>
      <c r="O37" s="89">
        <f t="shared" si="0"/>
        <v>0</v>
      </c>
      <c r="P37" s="92">
        <f>'Rider Rates'!$D$49</f>
        <v>46022</v>
      </c>
    </row>
    <row r="38" spans="1:221" x14ac:dyDescent="0.2">
      <c r="A38" s="72" t="s">
        <v>96</v>
      </c>
      <c r="B38" s="72"/>
      <c r="C38" s="72"/>
      <c r="D38" s="4">
        <f>IF($C$16&lt;0,0,IF($C$16&gt;833000,833000,$C$16))</f>
        <v>0</v>
      </c>
      <c r="E38" s="97" t="s">
        <v>19</v>
      </c>
      <c r="F38" s="84" t="s">
        <v>80</v>
      </c>
      <c r="G38" s="100"/>
      <c r="H38" s="100"/>
      <c r="I38" s="100">
        <f>'Rider Rates'!D53</f>
        <v>0</v>
      </c>
      <c r="J38" s="100">
        <f>SUM(G38:I38)</f>
        <v>0</v>
      </c>
      <c r="K38" s="94" t="s">
        <v>85</v>
      </c>
      <c r="L38" s="89"/>
      <c r="M38" s="89"/>
      <c r="N38" s="189">
        <f>D38*J38</f>
        <v>0</v>
      </c>
      <c r="O38" s="89">
        <f t="shared" si="0"/>
        <v>0</v>
      </c>
      <c r="P38" s="92">
        <f>'Rider Rates'!E53</f>
        <v>45883</v>
      </c>
    </row>
    <row r="39" spans="1:221" x14ac:dyDescent="0.2">
      <c r="A39" s="76" t="s">
        <v>97</v>
      </c>
      <c r="B39" s="72"/>
      <c r="C39" s="72"/>
      <c r="D39" s="4">
        <f>IF($C$16&lt;0,0,$C$16)</f>
        <v>0</v>
      </c>
      <c r="E39" s="97" t="s">
        <v>19</v>
      </c>
      <c r="F39" s="84" t="s">
        <v>80</v>
      </c>
      <c r="G39" s="100"/>
      <c r="H39" s="100">
        <f>'Rider Rates'!G57</f>
        <v>2.1561400000000001E-2</v>
      </c>
      <c r="I39" s="100"/>
      <c r="J39" s="100">
        <f>SUM(G39:I39)</f>
        <v>2.1561400000000001E-2</v>
      </c>
      <c r="K39" s="94" t="s">
        <v>85</v>
      </c>
      <c r="L39" s="89"/>
      <c r="M39" s="89">
        <f>ROUND(D39*H39,2)</f>
        <v>0</v>
      </c>
      <c r="N39" s="116"/>
      <c r="O39" s="89">
        <f t="shared" si="0"/>
        <v>0</v>
      </c>
      <c r="P39" s="92">
        <f>'Rider Rates'!H57</f>
        <v>45929</v>
      </c>
    </row>
    <row r="40" spans="1:221" x14ac:dyDescent="0.2">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
      <c r="A41" s="76" t="s">
        <v>100</v>
      </c>
      <c r="B41" s="72"/>
      <c r="C41" s="72"/>
      <c r="D41" s="217">
        <f>$N$25</f>
        <v>9.4</v>
      </c>
      <c r="E41" s="97" t="s">
        <v>92</v>
      </c>
      <c r="F41" s="84" t="s">
        <v>80</v>
      </c>
      <c r="G41" s="117"/>
      <c r="H41" s="118"/>
      <c r="I41" s="119">
        <f>'Rider Rates'!$B$87</f>
        <v>3.5344300000000002E-2</v>
      </c>
      <c r="J41" s="119">
        <f>SUM(H41:I41)</f>
        <v>3.5344300000000002E-2</v>
      </c>
      <c r="K41" s="94"/>
      <c r="L41" s="89"/>
      <c r="M41" s="89"/>
      <c r="N41" s="89">
        <f>ROUND(N$25*I41,2)</f>
        <v>0.33</v>
      </c>
      <c r="O41" s="128">
        <f t="shared" si="0"/>
        <v>0.33</v>
      </c>
      <c r="P41" s="92">
        <f>'Rider Rates'!$D$87</f>
        <v>45929</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
      <c r="A42" s="76" t="s">
        <v>101</v>
      </c>
      <c r="B42" s="72"/>
      <c r="C42" s="72"/>
      <c r="D42" s="217">
        <f>$N$25</f>
        <v>9.4</v>
      </c>
      <c r="E42" s="97" t="s">
        <v>92</v>
      </c>
      <c r="F42" s="84" t="s">
        <v>80</v>
      </c>
      <c r="G42" s="120"/>
      <c r="H42" s="85"/>
      <c r="I42" s="119">
        <f>'Rider Rates'!$B$89</f>
        <v>7.8822199999999995E-2</v>
      </c>
      <c r="J42" s="119">
        <f>SUM(H42:I42)</f>
        <v>7.8822199999999995E-2</v>
      </c>
      <c r="K42" s="94"/>
      <c r="L42" s="89"/>
      <c r="M42" s="89"/>
      <c r="N42" s="89">
        <f>ROUND(N$25*I42,2)</f>
        <v>0.74</v>
      </c>
      <c r="O42" s="128">
        <f t="shared" si="0"/>
        <v>0.74</v>
      </c>
      <c r="P42" s="92">
        <f>'Rider Rates'!$D$89</f>
        <v>45987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102</v>
      </c>
      <c r="B43" s="72"/>
      <c r="C43" s="72"/>
      <c r="D43" s="113"/>
      <c r="E43" s="97" t="s">
        <v>55</v>
      </c>
      <c r="F43" s="84"/>
      <c r="G43" s="120"/>
      <c r="H43" s="85"/>
      <c r="I43" s="121">
        <f>'Rider Rates'!$B$93</f>
        <v>21.84</v>
      </c>
      <c r="J43" s="121">
        <f>SUM(G43:I43)</f>
        <v>21.84</v>
      </c>
      <c r="K43" s="94"/>
      <c r="L43" s="89"/>
      <c r="M43" s="89"/>
      <c r="N43" s="89">
        <f>I43</f>
        <v>21.84</v>
      </c>
      <c r="O43" s="89">
        <f>SUM(L43:N43)</f>
        <v>21.84</v>
      </c>
      <c r="P43" s="92">
        <f>'Rider Rates'!$D$93</f>
        <v>46022</v>
      </c>
    </row>
    <row r="44" spans="1:221" x14ac:dyDescent="0.2">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217">
        <f>$N$25</f>
        <v>9.4</v>
      </c>
      <c r="E46" s="97" t="s">
        <v>92</v>
      </c>
      <c r="F46" s="84" t="s">
        <v>80</v>
      </c>
      <c r="G46" s="120"/>
      <c r="H46" s="85"/>
      <c r="I46" s="119">
        <f>'Rider Rates'!$B$107</f>
        <v>0.24079249999999999</v>
      </c>
      <c r="J46" s="119">
        <f>SUM(H46:I46)</f>
        <v>0.24079249999999999</v>
      </c>
      <c r="K46" s="94"/>
      <c r="L46" s="89"/>
      <c r="M46" s="89"/>
      <c r="N46" s="89">
        <f>ROUND(N$25*I46,2)</f>
        <v>2.2599999999999998</v>
      </c>
      <c r="O46" s="89">
        <f t="shared" si="0"/>
        <v>2.2599999999999998</v>
      </c>
      <c r="P46" s="92">
        <f>'Rider Rates'!$D$107</f>
        <v>45987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SUM(G47:I47)</f>
        <v>0.99</v>
      </c>
      <c r="K47" s="94"/>
      <c r="L47" s="89"/>
      <c r="M47" s="89"/>
      <c r="N47" s="125">
        <f>I47</f>
        <v>0.99</v>
      </c>
      <c r="O47" s="89">
        <f t="shared" ref="O47:O51" si="1">SUM(L47:N47)</f>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'Customer Info'!$B$22+'Customer Info'!$B$23-'Customer Info'!$B$24</f>
        <v>0</v>
      </c>
      <c r="E48" s="97" t="s">
        <v>19</v>
      </c>
      <c r="F48" s="84" t="s">
        <v>80</v>
      </c>
      <c r="G48" s="100">
        <f>'Rider Rates'!$B$113</f>
        <v>3.8972999999999998E-3</v>
      </c>
      <c r="H48" s="100"/>
      <c r="I48" s="119"/>
      <c r="J48" s="115">
        <f>SUM(G48:H48)</f>
        <v>3.8972999999999998E-3</v>
      </c>
      <c r="K48" s="94" t="s">
        <v>85</v>
      </c>
      <c r="L48" s="89">
        <f>ROUND(D48*G48,2)</f>
        <v>0</v>
      </c>
      <c r="M48" s="89"/>
      <c r="N48" s="89"/>
      <c r="O48" s="89">
        <f t="shared" si="1"/>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SUM(G50:I50)</f>
        <v>0</v>
      </c>
      <c r="K50" s="94" t="s">
        <v>85</v>
      </c>
      <c r="L50" s="196"/>
      <c r="M50" s="196"/>
      <c r="N50" s="196">
        <f>IF(D50*J50&gt;'Rider Rates'!$C$127,'Rider Rates'!$C$127,D50*J50)</f>
        <v>0</v>
      </c>
      <c r="O50" s="196">
        <f t="shared" si="1"/>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SUM(L29:L54)</f>
        <v>0</v>
      </c>
      <c r="M55" s="105">
        <f>SUM(M29:M54)</f>
        <v>0</v>
      </c>
      <c r="N55" s="105">
        <f>SUM(N29:N54)</f>
        <v>26.16</v>
      </c>
      <c r="O55" s="105">
        <f>SUM(O29:O54)</f>
        <v>26.16</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L25+L55</f>
        <v>0</v>
      </c>
      <c r="M57" s="219">
        <f>M25+M55</f>
        <v>0</v>
      </c>
      <c r="N57" s="219">
        <f>N25+N55</f>
        <v>35.56</v>
      </c>
      <c r="O57" s="219">
        <f>O25+O55</f>
        <v>35.56</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O23+O55</f>
        <v>35.56</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35.56</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31"/>
    </row>
    <row r="74" spans="1:16" x14ac:dyDescent="0.2">
      <c r="A74" s="431"/>
    </row>
    <row r="75" spans="1:16" x14ac:dyDescent="0.2">
      <c r="A75" s="431"/>
    </row>
    <row r="76" spans="1:16" x14ac:dyDescent="0.2">
      <c r="A76" s="431"/>
    </row>
    <row r="77" spans="1:16" x14ac:dyDescent="0.2">
      <c r="A77" s="431"/>
    </row>
    <row r="78" spans="1:16" x14ac:dyDescent="0.2">
      <c r="A78" s="431"/>
    </row>
    <row r="79" spans="1:16" x14ac:dyDescent="0.2">
      <c r="A79" s="431"/>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sheetData>
  <sheetProtection algorithmName="SHA-512" hashValue="0DvKrui2UyZy/atFxMg9R/YBv/ex4P2P8HR2Sl7d/WzHD6K9DDj8Pbs2yYCQBuIkVujnjWpjZ5/gkOayb8W22g==" saltValue="a4SxYSPEvs6dIud9eSBUXQ=="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3314"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133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2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2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3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3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4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4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5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5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6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6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7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BB434-13ED-403E-82B3-4AFE4A545431}">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193</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46051</v>
      </c>
      <c r="B6" s="76" t="s">
        <v>194</v>
      </c>
      <c r="C6" s="229"/>
      <c r="D6" s="229"/>
      <c r="E6" s="229"/>
      <c r="F6" s="229"/>
      <c r="G6" s="229"/>
      <c r="H6" s="229"/>
      <c r="I6" s="229"/>
      <c r="J6" s="229"/>
      <c r="K6" s="229"/>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2</v>
      </c>
      <c r="C10" s="63" t="str">
        <f>LOOKUP(B10,R10:AD10,R11:AD11)</f>
        <v>February</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
      <c r="A18" s="158" t="s">
        <v>2</v>
      </c>
      <c r="B18" s="158"/>
      <c r="C18" s="210" t="s">
        <v>2</v>
      </c>
      <c r="D18" s="452" t="s">
        <v>2</v>
      </c>
      <c r="E18" s="452"/>
      <c r="F18" s="452"/>
      <c r="G18" s="452"/>
      <c r="H18" s="452"/>
      <c r="K18" s="158"/>
      <c r="L18" s="158"/>
      <c r="M18" s="158"/>
      <c r="N18" s="158"/>
      <c r="O18" s="188"/>
    </row>
    <row r="19" spans="1:30" x14ac:dyDescent="0.2">
      <c r="A19" s="158" t="s">
        <v>2</v>
      </c>
      <c r="B19" s="158"/>
      <c r="C19" s="210" t="s">
        <v>2</v>
      </c>
      <c r="D19" s="452" t="s">
        <v>2</v>
      </c>
      <c r="E19" s="452"/>
      <c r="F19" s="452"/>
      <c r="G19" s="452"/>
      <c r="H19" s="452"/>
      <c r="I19" s="57"/>
      <c r="J19" s="57"/>
      <c r="K19" s="158"/>
      <c r="L19" s="158"/>
      <c r="M19" s="158"/>
      <c r="N19" s="158"/>
      <c r="O19" s="188"/>
    </row>
    <row r="20" spans="1:30" x14ac:dyDescent="0.2">
      <c r="A20" s="158"/>
      <c r="B20" s="158"/>
      <c r="C20" s="160"/>
      <c r="D20" s="160"/>
      <c r="E20" s="160"/>
      <c r="F20" s="160"/>
      <c r="G20" s="57"/>
      <c r="H20" s="57"/>
      <c r="I20" s="57"/>
      <c r="J20" s="57"/>
      <c r="K20" s="158"/>
      <c r="L20" s="158"/>
      <c r="M20" s="158"/>
      <c r="N20" s="158"/>
      <c r="O20" s="158"/>
    </row>
    <row r="21" spans="1:30" x14ac:dyDescent="0.2">
      <c r="A21" s="162" t="s">
        <v>70</v>
      </c>
      <c r="B21" s="163"/>
      <c r="C21" s="163"/>
      <c r="D21" s="163"/>
      <c r="E21" s="163"/>
      <c r="F21" s="163"/>
      <c r="G21" s="444" t="s">
        <v>71</v>
      </c>
      <c r="H21" s="445"/>
      <c r="I21" s="445"/>
      <c r="J21" s="446"/>
      <c r="K21" s="163"/>
      <c r="L21" s="447" t="s">
        <v>72</v>
      </c>
      <c r="M21" s="447"/>
      <c r="N21" s="447"/>
      <c r="O21" s="447"/>
    </row>
    <row r="22" spans="1:30" x14ac:dyDescent="0.2">
      <c r="G22" s="164" t="s">
        <v>73</v>
      </c>
      <c r="H22" s="164" t="s">
        <v>74</v>
      </c>
      <c r="I22" s="164" t="s">
        <v>75</v>
      </c>
      <c r="J22" s="118" t="s">
        <v>76</v>
      </c>
      <c r="L22" s="165" t="s">
        <v>73</v>
      </c>
      <c r="M22" s="165" t="s">
        <v>74</v>
      </c>
      <c r="N22" s="165" t="s">
        <v>75</v>
      </c>
      <c r="O22" s="165" t="s">
        <v>76</v>
      </c>
      <c r="P22" s="166" t="s">
        <v>77</v>
      </c>
    </row>
    <row r="23" spans="1:30" x14ac:dyDescent="0.2">
      <c r="A23" t="s">
        <v>78</v>
      </c>
      <c r="G23" s="189"/>
      <c r="H23" s="189"/>
      <c r="I23" s="189">
        <v>138.5</v>
      </c>
      <c r="J23" s="189">
        <f>SUM(G23:I23)</f>
        <v>138.5</v>
      </c>
      <c r="L23" s="190"/>
      <c r="M23" s="190"/>
      <c r="N23" s="190">
        <f>I23</f>
        <v>138.5</v>
      </c>
      <c r="O23" s="128">
        <f>SUM(L23:N23)</f>
        <v>138.5</v>
      </c>
      <c r="P23" s="92">
        <v>44531</v>
      </c>
    </row>
    <row r="24" spans="1:30" x14ac:dyDescent="0.2">
      <c r="A24" t="s">
        <v>165</v>
      </c>
      <c r="D24" s="4">
        <f>D16</f>
        <v>0</v>
      </c>
      <c r="E24" s="97" t="s">
        <v>19</v>
      </c>
      <c r="F24" s="84" t="s">
        <v>80</v>
      </c>
      <c r="G24" s="191"/>
      <c r="H24" s="189"/>
      <c r="I24" s="191">
        <v>1.37173E-2</v>
      </c>
      <c r="J24" s="191">
        <f>I24</f>
        <v>1.37173E-2</v>
      </c>
      <c r="K24" s="94" t="s">
        <v>85</v>
      </c>
      <c r="L24" s="189"/>
      <c r="M24" s="190"/>
      <c r="N24" s="189">
        <f>D24*J24</f>
        <v>0</v>
      </c>
      <c r="O24" s="128">
        <f>SUM(L24:N24)</f>
        <v>0</v>
      </c>
      <c r="P24" s="92"/>
    </row>
    <row r="25" spans="1:30" x14ac:dyDescent="0.2">
      <c r="A25" s="144" t="s">
        <v>82</v>
      </c>
      <c r="B25" s="144"/>
      <c r="C25" s="144"/>
      <c r="D25" s="170"/>
      <c r="E25" s="170"/>
      <c r="F25" s="144"/>
      <c r="G25" s="144"/>
      <c r="H25" s="144"/>
      <c r="I25" s="144"/>
      <c r="J25" s="144"/>
      <c r="K25" s="172"/>
      <c r="L25" s="171"/>
      <c r="M25" s="171"/>
      <c r="N25" s="171">
        <f>SUM(N23:N24)</f>
        <v>138.5</v>
      </c>
      <c r="O25" s="171">
        <f>SUM(O23:O24)</f>
        <v>138.5</v>
      </c>
    </row>
    <row r="26" spans="1:30" x14ac:dyDescent="0.2">
      <c r="A26" s="192"/>
      <c r="B26" s="192"/>
      <c r="C26" s="193"/>
      <c r="D26" s="193"/>
      <c r="E26" s="193"/>
      <c r="F26" s="193"/>
      <c r="G26" s="194"/>
      <c r="H26" s="194"/>
      <c r="I26" s="194"/>
      <c r="J26" s="194"/>
      <c r="K26" s="192"/>
      <c r="L26" s="192"/>
      <c r="M26" s="192"/>
      <c r="N26" s="192"/>
      <c r="O26" s="192"/>
      <c r="P26" s="192"/>
    </row>
    <row r="27" spans="1:30" x14ac:dyDescent="0.2">
      <c r="A27" s="155" t="s">
        <v>83</v>
      </c>
      <c r="D27" s="4"/>
      <c r="E27" s="4"/>
      <c r="K27" s="154"/>
      <c r="L27" s="154"/>
      <c r="M27" s="154"/>
      <c r="N27" s="154"/>
      <c r="O27" s="213"/>
      <c r="P27" s="213"/>
    </row>
    <row r="28" spans="1:30" x14ac:dyDescent="0.2">
      <c r="A28" s="144"/>
      <c r="D28" s="4"/>
      <c r="E28" s="4"/>
      <c r="K28" s="154"/>
      <c r="L28" s="154"/>
      <c r="M28" s="154"/>
      <c r="N28" s="154"/>
      <c r="O28" s="213"/>
    </row>
    <row r="29" spans="1:30" x14ac:dyDescent="0.2">
      <c r="A29" s="72" t="s">
        <v>84</v>
      </c>
      <c r="D29" s="4">
        <f>IF($C$16&lt;0,0,IF($C$16&gt;833000,833000,$C$16))</f>
        <v>0</v>
      </c>
      <c r="E29" s="152" t="s">
        <v>19</v>
      </c>
      <c r="F29" s="1" t="s">
        <v>80</v>
      </c>
      <c r="G29" s="167"/>
      <c r="H29" s="191"/>
      <c r="I29" s="100">
        <f>'Rider Rates'!$B$4</f>
        <v>5.5215000000000004E-3</v>
      </c>
      <c r="J29" s="214">
        <f>SUM(G29:I29)</f>
        <v>5.5215000000000004E-3</v>
      </c>
      <c r="K29" s="154" t="s">
        <v>85</v>
      </c>
      <c r="L29" s="189"/>
      <c r="M29" s="189"/>
      <c r="N29" s="189">
        <f>ROUND($D29*I29,2)</f>
        <v>0</v>
      </c>
      <c r="O29" s="189">
        <f>SUM(L29:N29)</f>
        <v>0</v>
      </c>
      <c r="P29" s="92">
        <f>'Rider Rates'!$D$4</f>
        <v>46022</v>
      </c>
    </row>
    <row r="30" spans="1:30" x14ac:dyDescent="0.2">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46022</v>
      </c>
    </row>
    <row r="31" spans="1:30" x14ac:dyDescent="0.2">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
      <c r="A34" s="72" t="s">
        <v>91</v>
      </c>
      <c r="B34" s="72"/>
      <c r="C34" s="72"/>
      <c r="D34" s="217">
        <f>$N$25</f>
        <v>138.5</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
      <c r="A35" s="76" t="s">
        <v>93</v>
      </c>
      <c r="B35" s="72"/>
      <c r="C35" s="72"/>
      <c r="D35" s="111">
        <f>'Customer Info'!$B$22+'Customer Info'!$B$23-'Customer Info'!$B$24</f>
        <v>0</v>
      </c>
      <c r="E35" s="97" t="s">
        <v>19</v>
      </c>
      <c r="F35" s="84" t="s">
        <v>80</v>
      </c>
      <c r="G35" s="100">
        <f>'Rider Rates'!B24</f>
        <v>7.4289999999999995E-2</v>
      </c>
      <c r="H35" s="100"/>
      <c r="I35" s="100"/>
      <c r="J35" s="115">
        <f>SUM(G35:H35)</f>
        <v>7.4289999999999995E-2</v>
      </c>
      <c r="K35" s="94" t="s">
        <v>85</v>
      </c>
      <c r="L35" s="89">
        <f>ROUND(D35*G35,2)</f>
        <v>0</v>
      </c>
      <c r="M35" s="89"/>
      <c r="N35" s="89"/>
      <c r="O35" s="89">
        <f t="shared" si="0"/>
        <v>0</v>
      </c>
      <c r="P35" s="92">
        <f>'Rider Rates'!$D$23</f>
        <v>45809</v>
      </c>
    </row>
    <row r="36" spans="1:221" x14ac:dyDescent="0.2">
      <c r="A36" s="72" t="s">
        <v>94</v>
      </c>
      <c r="B36" s="72"/>
      <c r="C36" s="72"/>
      <c r="D36" s="111">
        <f>'Customer Info'!$B$22+'Customer Info'!$B$23-'Customer Info'!$B$24</f>
        <v>0</v>
      </c>
      <c r="E36" s="97" t="s">
        <v>19</v>
      </c>
      <c r="F36" s="84" t="s">
        <v>80</v>
      </c>
      <c r="G36" s="100">
        <f>'Rider Rates'!$B$42</f>
        <v>1.3849999999999999E-2</v>
      </c>
      <c r="H36" s="100"/>
      <c r="I36" s="100"/>
      <c r="J36" s="115">
        <f>SUM(G36:H36)</f>
        <v>1.3849999999999999E-2</v>
      </c>
      <c r="K36" s="94" t="s">
        <v>85</v>
      </c>
      <c r="L36" s="89">
        <f>ROUND(D36*G36,2)</f>
        <v>0</v>
      </c>
      <c r="M36" s="89"/>
      <c r="N36" s="89"/>
      <c r="O36" s="89">
        <f t="shared" si="0"/>
        <v>0</v>
      </c>
      <c r="P36" s="92">
        <f>'Rider Rates'!$D$42</f>
        <v>45809</v>
      </c>
    </row>
    <row r="37" spans="1:221" x14ac:dyDescent="0.2">
      <c r="A37" s="76" t="s">
        <v>95</v>
      </c>
      <c r="B37" s="72"/>
      <c r="C37" s="72"/>
      <c r="D37" s="111">
        <f>'Customer Info'!$B$22+'Customer Info'!$B$23-'Customer Info'!$B$24</f>
        <v>0</v>
      </c>
      <c r="E37" s="97" t="s">
        <v>19</v>
      </c>
      <c r="F37" s="84" t="s">
        <v>80</v>
      </c>
      <c r="G37" s="100">
        <f>'Rider Rates'!$B$49</f>
        <v>2.7588999999999999E-3</v>
      </c>
      <c r="H37" s="100"/>
      <c r="I37" s="100"/>
      <c r="J37" s="115">
        <f>SUM(G37:H37)</f>
        <v>2.7588999999999999E-3</v>
      </c>
      <c r="K37" s="94" t="s">
        <v>85</v>
      </c>
      <c r="L37" s="89">
        <f>ROUND(D37*G37,2)</f>
        <v>0</v>
      </c>
      <c r="M37" s="89"/>
      <c r="N37" s="89"/>
      <c r="O37" s="89">
        <f t="shared" si="0"/>
        <v>0</v>
      </c>
      <c r="P37" s="92">
        <f>'Rider Rates'!$D$49</f>
        <v>46022</v>
      </c>
    </row>
    <row r="38" spans="1:221" x14ac:dyDescent="0.2">
      <c r="A38" s="72" t="s">
        <v>96</v>
      </c>
      <c r="B38" s="72"/>
      <c r="C38" s="72"/>
      <c r="D38" s="4">
        <f>IF($C$16&lt;0,0,IF($C$16&gt;833000,833000,$C$16))</f>
        <v>0</v>
      </c>
      <c r="E38" s="97" t="s">
        <v>19</v>
      </c>
      <c r="F38" s="84" t="s">
        <v>80</v>
      </c>
      <c r="G38" s="100"/>
      <c r="H38" s="100"/>
      <c r="I38" s="100">
        <f>'Rider Rates'!D53</f>
        <v>0</v>
      </c>
      <c r="J38" s="100">
        <f>SUM(G38:I38)</f>
        <v>0</v>
      </c>
      <c r="K38" s="94" t="s">
        <v>85</v>
      </c>
      <c r="L38" s="89"/>
      <c r="M38" s="89"/>
      <c r="N38" s="189">
        <f>D38*J38</f>
        <v>0</v>
      </c>
      <c r="O38" s="89">
        <f t="shared" si="0"/>
        <v>0</v>
      </c>
      <c r="P38" s="92">
        <f>'Rider Rates'!E53</f>
        <v>45883</v>
      </c>
    </row>
    <row r="39" spans="1:221" x14ac:dyDescent="0.2">
      <c r="A39" s="76" t="s">
        <v>97</v>
      </c>
      <c r="B39" s="72"/>
      <c r="C39" s="72"/>
      <c r="D39" s="4">
        <f>IF($C$16&lt;0,0,$C$16)</f>
        <v>0</v>
      </c>
      <c r="E39" s="97" t="s">
        <v>19</v>
      </c>
      <c r="F39" s="84" t="s">
        <v>80</v>
      </c>
      <c r="G39" s="100"/>
      <c r="H39" s="100">
        <f>'Rider Rates'!G58</f>
        <v>2.8046499999999999E-2</v>
      </c>
      <c r="I39" s="100"/>
      <c r="J39" s="100">
        <f>SUM(G39:I39)</f>
        <v>2.8046499999999999E-2</v>
      </c>
      <c r="K39" s="94" t="s">
        <v>85</v>
      </c>
      <c r="L39" s="89"/>
      <c r="M39" s="89">
        <f>ROUND(D39*H39,2)</f>
        <v>0</v>
      </c>
      <c r="N39" s="116"/>
      <c r="O39" s="89">
        <f t="shared" si="0"/>
        <v>0</v>
      </c>
      <c r="P39" s="92">
        <f>'Rider Rates'!H58</f>
        <v>45929</v>
      </c>
    </row>
    <row r="40" spans="1:221" x14ac:dyDescent="0.2">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
      <c r="A41" s="76" t="s">
        <v>100</v>
      </c>
      <c r="B41" s="72"/>
      <c r="C41" s="72"/>
      <c r="D41" s="217">
        <f>$N$25</f>
        <v>138.5</v>
      </c>
      <c r="E41" s="97" t="s">
        <v>92</v>
      </c>
      <c r="F41" s="84" t="s">
        <v>80</v>
      </c>
      <c r="G41" s="117"/>
      <c r="H41" s="118"/>
      <c r="I41" s="119">
        <f>'Rider Rates'!$B$87</f>
        <v>3.5344300000000002E-2</v>
      </c>
      <c r="J41" s="119">
        <f>SUM(H41:I41)</f>
        <v>3.5344300000000002E-2</v>
      </c>
      <c r="K41" s="94"/>
      <c r="L41" s="89"/>
      <c r="M41" s="89"/>
      <c r="N41" s="89">
        <f>ROUND(N$25*I41,2)</f>
        <v>4.9000000000000004</v>
      </c>
      <c r="O41" s="128">
        <f t="shared" si="0"/>
        <v>4.9000000000000004</v>
      </c>
      <c r="P41" s="92">
        <f>'Rider Rates'!$D$87</f>
        <v>45929</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
      <c r="A42" s="76" t="s">
        <v>101</v>
      </c>
      <c r="B42" s="72"/>
      <c r="C42" s="72"/>
      <c r="D42" s="217">
        <f>$N$25</f>
        <v>138.5</v>
      </c>
      <c r="E42" s="97" t="s">
        <v>92</v>
      </c>
      <c r="F42" s="84" t="s">
        <v>80</v>
      </c>
      <c r="G42" s="120"/>
      <c r="H42" s="85"/>
      <c r="I42" s="119">
        <f>'Rider Rates'!$B$89</f>
        <v>7.8822199999999995E-2</v>
      </c>
      <c r="J42" s="119">
        <f>SUM(H42:I42)</f>
        <v>7.8822199999999995E-2</v>
      </c>
      <c r="K42" s="94"/>
      <c r="L42" s="89"/>
      <c r="M42" s="89"/>
      <c r="N42" s="89">
        <f>ROUND(N$25*I42,2)</f>
        <v>10.92</v>
      </c>
      <c r="O42" s="128">
        <f t="shared" si="0"/>
        <v>10.92</v>
      </c>
      <c r="P42" s="92">
        <f>'Rider Rates'!$D$89</f>
        <v>45987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102</v>
      </c>
      <c r="B43" s="72"/>
      <c r="C43" s="72"/>
      <c r="D43" s="113"/>
      <c r="E43" s="97" t="s">
        <v>55</v>
      </c>
      <c r="F43" s="84"/>
      <c r="G43" s="120"/>
      <c r="H43" s="85"/>
      <c r="I43" s="121">
        <f>'Rider Rates'!$B$93</f>
        <v>21.84</v>
      </c>
      <c r="J43" s="121">
        <f>SUM(G43:I43)</f>
        <v>21.84</v>
      </c>
      <c r="K43" s="94"/>
      <c r="L43" s="89"/>
      <c r="M43" s="89"/>
      <c r="N43" s="89">
        <f>I43</f>
        <v>21.84</v>
      </c>
      <c r="O43" s="89">
        <f>SUM(L43:N43)</f>
        <v>21.84</v>
      </c>
      <c r="P43" s="92">
        <f>'Rider Rates'!$D$93</f>
        <v>46022</v>
      </c>
    </row>
    <row r="44" spans="1:221" x14ac:dyDescent="0.2">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217">
        <f>$N$25</f>
        <v>138.5</v>
      </c>
      <c r="E46" s="97" t="s">
        <v>92</v>
      </c>
      <c r="F46" s="84" t="s">
        <v>80</v>
      </c>
      <c r="G46" s="120"/>
      <c r="H46" s="85"/>
      <c r="I46" s="119">
        <f>'Rider Rates'!$B$107</f>
        <v>0.24079249999999999</v>
      </c>
      <c r="J46" s="119">
        <f>SUM(H46:I46)</f>
        <v>0.24079249999999999</v>
      </c>
      <c r="K46" s="94"/>
      <c r="L46" s="89"/>
      <c r="M46" s="89"/>
      <c r="N46" s="89">
        <f>ROUND(N$25*I46,2)</f>
        <v>33.35</v>
      </c>
      <c r="O46" s="89">
        <f t="shared" si="0"/>
        <v>33.35</v>
      </c>
      <c r="P46" s="92">
        <f>'Rider Rates'!$D$107</f>
        <v>45987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SUM(G47:I47)</f>
        <v>0.99</v>
      </c>
      <c r="K47" s="94"/>
      <c r="L47" s="89"/>
      <c r="M47" s="89"/>
      <c r="N47" s="125">
        <f>I47</f>
        <v>0.99</v>
      </c>
      <c r="O47" s="89">
        <f t="shared" ref="O47:O51" si="1">SUM(L47:N47)</f>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'Customer Info'!$B$22+'Customer Info'!$B$23-'Customer Info'!$B$24</f>
        <v>0</v>
      </c>
      <c r="E48" s="97" t="s">
        <v>19</v>
      </c>
      <c r="F48" s="84" t="s">
        <v>80</v>
      </c>
      <c r="G48" s="100">
        <f>'Rider Rates'!$B$114</f>
        <v>3.7618E-3</v>
      </c>
      <c r="H48" s="100"/>
      <c r="I48" s="119"/>
      <c r="J48" s="115">
        <f>SUM(G48:H48)</f>
        <v>3.7618E-3</v>
      </c>
      <c r="K48" s="94" t="s">
        <v>85</v>
      </c>
      <c r="L48" s="89">
        <f>ROUND(D48*G48,2)</f>
        <v>0</v>
      </c>
      <c r="M48" s="89"/>
      <c r="N48" s="89"/>
      <c r="O48" s="89">
        <f t="shared" si="1"/>
        <v>0</v>
      </c>
      <c r="P48" s="92">
        <f>'Rider Rates'!$D$114</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SUM(G50:I50)</f>
        <v>0</v>
      </c>
      <c r="K50" s="94" t="s">
        <v>85</v>
      </c>
      <c r="L50" s="196"/>
      <c r="M50" s="196"/>
      <c r="N50" s="196">
        <f>IF(D50*J50&gt;'Rider Rates'!$C$127,'Rider Rates'!$C$127,D50*J50)</f>
        <v>0</v>
      </c>
      <c r="O50" s="196">
        <f t="shared" si="1"/>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SUM(L29:L54)</f>
        <v>0</v>
      </c>
      <c r="M55" s="105">
        <f>SUM(M29:M54)</f>
        <v>0</v>
      </c>
      <c r="N55" s="105">
        <f>SUM(N29:N54)</f>
        <v>71.999999999999986</v>
      </c>
      <c r="O55" s="105">
        <f>SUM(O29:O54)</f>
        <v>71.999999999999986</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L25+L55</f>
        <v>0</v>
      </c>
      <c r="M57" s="219">
        <f>M25+M55</f>
        <v>0</v>
      </c>
      <c r="N57" s="219">
        <f>N25+N55</f>
        <v>210.5</v>
      </c>
      <c r="O57" s="219">
        <f>O25+O55</f>
        <v>210.5</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O23+O55</f>
        <v>210.5</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210.5</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31"/>
    </row>
    <row r="74" spans="1:16" x14ac:dyDescent="0.2">
      <c r="A74" s="431"/>
    </row>
    <row r="75" spans="1:16" x14ac:dyDescent="0.2">
      <c r="A75" s="431"/>
    </row>
    <row r="76" spans="1:16" x14ac:dyDescent="0.2">
      <c r="A76" s="431"/>
    </row>
    <row r="77" spans="1:16" x14ac:dyDescent="0.2">
      <c r="A77" s="431"/>
    </row>
    <row r="78" spans="1:16" x14ac:dyDescent="0.2">
      <c r="A78" s="431"/>
    </row>
    <row r="79" spans="1:16" x14ac:dyDescent="0.2">
      <c r="A79" s="431"/>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sheetData>
  <sheetProtection algorithmName="SHA-512" hashValue="jnTnwPtwFSAZbai9xN3fretAmzyfVHkLvP2SuDdVERz/Cvh399P36CRFaPeowf7MXfQFd4JFOT2KPBUvdrATOA==" saltValue="ykbyryQf3u/jhf3iNSq12g=="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4338"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1433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4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4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5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5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6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6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7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7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8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8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9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9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2A47-85AF-4A1E-BB94-333DC81C7FA7}">
  <dimension ref="A1:AD65"/>
  <sheetViews>
    <sheetView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7" t="s">
        <v>50</v>
      </c>
      <c r="B1" s="457"/>
      <c r="C1" s="457"/>
      <c r="D1" s="457"/>
      <c r="E1" s="457"/>
      <c r="F1" s="457"/>
      <c r="G1" s="457"/>
      <c r="H1" s="457"/>
      <c r="I1" s="457"/>
      <c r="J1" s="457"/>
      <c r="K1" s="457"/>
      <c r="L1" s="457"/>
      <c r="M1" s="457"/>
      <c r="N1" s="457"/>
      <c r="O1" s="457"/>
      <c r="P1" s="457"/>
    </row>
    <row r="2" spans="1:30" ht="20.25" x14ac:dyDescent="0.3">
      <c r="A2" s="457" t="s">
        <v>138</v>
      </c>
      <c r="B2" s="457"/>
      <c r="C2" s="457"/>
      <c r="D2" s="457"/>
      <c r="E2" s="457"/>
      <c r="F2" s="457"/>
      <c r="G2" s="457"/>
      <c r="H2" s="457"/>
      <c r="I2" s="457"/>
      <c r="J2" s="457"/>
      <c r="K2" s="457"/>
      <c r="L2" s="457"/>
      <c r="M2" s="457"/>
      <c r="N2" s="457"/>
      <c r="O2" s="457"/>
      <c r="P2" s="457"/>
    </row>
    <row r="3" spans="1:30" ht="18" x14ac:dyDescent="0.25">
      <c r="A3" s="458" t="s">
        <v>195</v>
      </c>
      <c r="B3" s="458"/>
      <c r="C3" s="458"/>
      <c r="D3" s="458"/>
      <c r="E3" s="458"/>
      <c r="F3" s="458"/>
      <c r="G3" s="458"/>
      <c r="H3" s="458"/>
      <c r="I3" s="458"/>
      <c r="J3" s="458"/>
      <c r="K3" s="458"/>
      <c r="L3" s="458"/>
      <c r="M3" s="458"/>
      <c r="N3" s="458"/>
      <c r="O3" s="458"/>
      <c r="P3" s="458"/>
    </row>
    <row r="4" spans="1:30" ht="15.75" x14ac:dyDescent="0.25">
      <c r="A4" s="459" t="str">
        <f>'Customer Info'!B12</f>
        <v>Breakdown of Charges Based on Entered Information</v>
      </c>
      <c r="B4" s="459"/>
      <c r="C4" s="459"/>
      <c r="D4" s="459"/>
      <c r="E4" s="459"/>
      <c r="F4" s="459"/>
      <c r="G4" s="459"/>
      <c r="H4" s="459"/>
      <c r="I4" s="459"/>
      <c r="J4" s="459"/>
      <c r="K4" s="459"/>
      <c r="L4" s="459"/>
      <c r="M4" s="459"/>
      <c r="N4" s="459"/>
      <c r="O4" s="459"/>
      <c r="P4" s="459"/>
    </row>
    <row r="5" spans="1:30" ht="15" x14ac:dyDescent="0.2">
      <c r="A5" s="231"/>
      <c r="B5" s="231"/>
      <c r="C5" s="231"/>
      <c r="D5" s="231"/>
      <c r="E5" s="231"/>
      <c r="F5" s="231"/>
      <c r="G5" s="231"/>
      <c r="H5" s="231" t="s">
        <v>196</v>
      </c>
      <c r="I5" s="231"/>
      <c r="J5" s="231"/>
      <c r="K5" s="231"/>
    </row>
    <row r="6" spans="1:30" x14ac:dyDescent="0.2">
      <c r="A6" s="232">
        <f ca="1">TODAY()</f>
        <v>46051</v>
      </c>
      <c r="B6" s="233"/>
      <c r="C6" s="232"/>
      <c r="D6" s="232"/>
      <c r="E6" s="232"/>
      <c r="F6" s="232"/>
      <c r="G6" s="232"/>
      <c r="H6" s="232"/>
      <c r="I6" s="232"/>
    </row>
    <row r="7" spans="1:30" ht="26.25" x14ac:dyDescent="0.4">
      <c r="A7" s="460"/>
      <c r="B7" s="460"/>
      <c r="C7" s="460"/>
      <c r="D7" s="460"/>
      <c r="E7" s="460"/>
      <c r="F7" s="460"/>
      <c r="G7" s="460"/>
      <c r="H7" s="460"/>
      <c r="I7" s="460"/>
      <c r="J7" s="460"/>
      <c r="K7" s="460"/>
      <c r="L7" s="460"/>
      <c r="M7" s="460"/>
      <c r="N7" s="460"/>
      <c r="O7" s="460"/>
      <c r="P7" s="460"/>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2</v>
      </c>
      <c r="C11" s="240" t="str">
        <f>LOOKUP(B11,R11:AD11,R12:AD12)</f>
        <v>February</v>
      </c>
      <c r="D11" s="240">
        <f>'Customer Info'!C9</f>
        <v>2026</v>
      </c>
      <c r="S11" s="230">
        <v>1</v>
      </c>
      <c r="T11" s="230">
        <v>2</v>
      </c>
      <c r="U11" s="230">
        <v>3</v>
      </c>
      <c r="V11" s="230">
        <v>4</v>
      </c>
      <c r="W11" s="230">
        <v>5</v>
      </c>
      <c r="X11" s="230">
        <v>6</v>
      </c>
      <c r="Y11" s="230">
        <v>7</v>
      </c>
      <c r="Z11" s="230">
        <v>8</v>
      </c>
      <c r="AA11" s="230">
        <v>9</v>
      </c>
      <c r="AB11" s="230">
        <v>10</v>
      </c>
      <c r="AC11" s="230">
        <v>11</v>
      </c>
      <c r="AD11" s="230">
        <v>12</v>
      </c>
    </row>
    <row r="12" spans="1:30" x14ac:dyDescent="0.2">
      <c r="A12" s="461"/>
      <c r="B12" s="461"/>
      <c r="C12" s="461"/>
      <c r="D12" s="461"/>
      <c r="E12" s="461"/>
      <c r="F12" s="461"/>
      <c r="G12" s="461"/>
      <c r="H12" s="461"/>
      <c r="I12" s="461"/>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3" t="s">
        <v>71</v>
      </c>
      <c r="H19" s="454"/>
      <c r="I19" s="454"/>
      <c r="J19" s="455"/>
      <c r="K19" s="245"/>
      <c r="L19" s="456" t="s">
        <v>72</v>
      </c>
      <c r="M19" s="456"/>
      <c r="N19" s="456"/>
      <c r="O19" s="456"/>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Rates'!B145</f>
        <v>9.4</v>
      </c>
      <c r="J21" s="256">
        <f>SUM(G21:I21)</f>
        <v>9.4</v>
      </c>
      <c r="L21" s="257"/>
      <c r="M21" s="257"/>
      <c r="N21" s="257">
        <f>I21</f>
        <v>9.4</v>
      </c>
      <c r="O21" s="256">
        <f>SUM(L21:N21)</f>
        <v>9.4</v>
      </c>
      <c r="P21" s="258">
        <v>44531</v>
      </c>
    </row>
    <row r="22" spans="1:22" x14ac:dyDescent="0.2">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
      <c r="A23" s="264" t="s">
        <v>82</v>
      </c>
      <c r="B23" s="264"/>
      <c r="C23" s="264"/>
      <c r="D23" s="265"/>
      <c r="E23" s="265"/>
      <c r="F23" s="264"/>
      <c r="G23" s="264"/>
      <c r="H23" s="264"/>
      <c r="I23" s="264"/>
      <c r="J23" s="264"/>
      <c r="K23" s="266"/>
      <c r="L23" s="267"/>
      <c r="M23" s="267"/>
      <c r="N23" s="267">
        <f>SUM(N21:N22)</f>
        <v>9.4</v>
      </c>
      <c r="O23" s="267">
        <f>SUM(O21:O22)</f>
        <v>9.4</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5.5215000000000004E-3</v>
      </c>
      <c r="J27" s="276">
        <f t="shared" ref="J27:J47" si="0">SUM(G27:I27)</f>
        <v>5.5215000000000004E-3</v>
      </c>
      <c r="K27" s="263" t="s">
        <v>85</v>
      </c>
      <c r="L27" s="91"/>
      <c r="M27" s="91"/>
      <c r="N27" s="91">
        <f t="shared" ref="N27:N32" si="1">ROUND(D27*I27,2)</f>
        <v>0</v>
      </c>
      <c r="O27" s="91">
        <f t="shared" ref="O27:O48" si="2">SUM(L27:N27)</f>
        <v>0</v>
      </c>
      <c r="P27" s="258">
        <f>'Rider Rates'!$D$4</f>
        <v>46022</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46022</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'Customer Info'!$B$22+'Customer Info'!$B$23-'Customer Info'!$B$24</f>
        <v>0</v>
      </c>
      <c r="E34" s="260" t="s">
        <v>19</v>
      </c>
      <c r="F34" s="261" t="s">
        <v>80</v>
      </c>
      <c r="G34" s="276">
        <f>'Rider Rates'!B22</f>
        <v>7.6880000000000004E-2</v>
      </c>
      <c r="H34" s="276"/>
      <c r="I34" s="276"/>
      <c r="J34" s="281">
        <f>SUM(G34:H34)</f>
        <v>7.6880000000000004E-2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Rates'!$B$44</f>
        <v>2.10674E-2</v>
      </c>
      <c r="H35" s="276"/>
      <c r="I35" s="276"/>
      <c r="J35" s="281">
        <f>SUM(G35:H35)</f>
        <v>2.10674E-2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Rates'!$C$44</f>
        <v>9.0900000000000009E-3</v>
      </c>
      <c r="H36" s="276"/>
      <c r="I36" s="276"/>
      <c r="J36" s="281">
        <f>SUM(G36:H36)</f>
        <v>9.0900000000000009E-3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2.7588999999999999E-3</v>
      </c>
      <c r="H37" s="276"/>
      <c r="I37" s="276"/>
      <c r="J37" s="281">
        <f>SUM(G37:H37)</f>
        <v>2.7588999999999999E-3</v>
      </c>
      <c r="K37" s="263" t="s">
        <v>85</v>
      </c>
      <c r="L37" s="91">
        <f>ROUND(D37*G37,2)</f>
        <v>0</v>
      </c>
      <c r="M37" s="91"/>
      <c r="N37" s="91"/>
      <c r="O37" s="91">
        <f t="shared" si="2"/>
        <v>0</v>
      </c>
      <c r="P37" s="258">
        <f>'Rider Rates'!$D$49</f>
        <v>46022</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9.4</v>
      </c>
      <c r="E42" s="260" t="s">
        <v>92</v>
      </c>
      <c r="F42" s="261" t="s">
        <v>80</v>
      </c>
      <c r="G42" s="284"/>
      <c r="H42" s="253"/>
      <c r="I42" s="285">
        <f>'Rider Rates'!$B$87</f>
        <v>3.5344300000000002E-2</v>
      </c>
      <c r="J42" s="285">
        <f t="shared" si="0"/>
        <v>3.5344300000000002E-2</v>
      </c>
      <c r="K42" s="263"/>
      <c r="L42" s="91"/>
      <c r="M42" s="91"/>
      <c r="N42" s="91">
        <f>ROUND(D42*I42,2)</f>
        <v>0.33</v>
      </c>
      <c r="O42" s="91">
        <f t="shared" si="2"/>
        <v>0.33</v>
      </c>
      <c r="P42" s="258">
        <f>'Rider Rates'!$D$87</f>
        <v>45929</v>
      </c>
      <c r="Q42" s="261"/>
      <c r="R42" s="277"/>
      <c r="S42" s="263"/>
      <c r="T42" s="273"/>
      <c r="V42" s="274"/>
    </row>
    <row r="43" spans="1:22" x14ac:dyDescent="0.2">
      <c r="A43" s="233" t="s">
        <v>101</v>
      </c>
      <c r="D43" s="279">
        <f>$N$23</f>
        <v>9.4</v>
      </c>
      <c r="E43" s="260" t="s">
        <v>92</v>
      </c>
      <c r="F43" s="261" t="s">
        <v>80</v>
      </c>
      <c r="G43" s="286"/>
      <c r="H43" s="253"/>
      <c r="I43" s="285">
        <f>'Rider Rates'!$B$89</f>
        <v>7.8822199999999995E-2</v>
      </c>
      <c r="J43" s="285">
        <f t="shared" si="0"/>
        <v>7.8822199999999995E-2</v>
      </c>
      <c r="K43" s="263"/>
      <c r="L43" s="91"/>
      <c r="M43" s="91"/>
      <c r="N43" s="91">
        <f>ROUND(D43*I43,2)</f>
        <v>0.74</v>
      </c>
      <c r="O43" s="91">
        <f t="shared" si="2"/>
        <v>0.74</v>
      </c>
      <c r="P43" s="258">
        <f>'Rider Rates'!$D$89</f>
        <v>45987</v>
      </c>
      <c r="Q43" s="261"/>
      <c r="R43" s="277"/>
      <c r="S43" s="263"/>
      <c r="T43" s="273"/>
      <c r="V43" s="274"/>
    </row>
    <row r="44" spans="1:22" x14ac:dyDescent="0.2">
      <c r="A44" s="233" t="s">
        <v>102</v>
      </c>
      <c r="D44" s="279"/>
      <c r="E44" s="260" t="s">
        <v>55</v>
      </c>
      <c r="F44" s="261"/>
      <c r="G44" s="286"/>
      <c r="H44" s="253"/>
      <c r="I44" s="283">
        <f>'Rider Rates'!$B$93</f>
        <v>21.84</v>
      </c>
      <c r="J44" s="283">
        <f t="shared" si="0"/>
        <v>21.84</v>
      </c>
      <c r="K44" s="263"/>
      <c r="L44" s="91"/>
      <c r="M44" s="91"/>
      <c r="N44" s="91">
        <f>I44</f>
        <v>21.84</v>
      </c>
      <c r="O44" s="91">
        <f t="shared" si="2"/>
        <v>21.84</v>
      </c>
      <c r="P44" s="258">
        <f>'Rider Rates'!$D$93</f>
        <v>46022</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9.4</v>
      </c>
      <c r="E46" s="260" t="s">
        <v>92</v>
      </c>
      <c r="F46" s="261" t="s">
        <v>80</v>
      </c>
      <c r="G46" s="286"/>
      <c r="H46" s="253"/>
      <c r="I46" s="285">
        <f>'Rider Rates'!$B$107</f>
        <v>0.24079249999999999</v>
      </c>
      <c r="J46" s="285">
        <f t="shared" si="0"/>
        <v>0.24079249999999999</v>
      </c>
      <c r="K46" s="263"/>
      <c r="L46" s="91"/>
      <c r="M46" s="91"/>
      <c r="N46" s="91">
        <f>ROUND(D46*I46,2)</f>
        <v>2.2599999999999998</v>
      </c>
      <c r="O46" s="91">
        <f t="shared" si="2"/>
        <v>2.2599999999999998</v>
      </c>
      <c r="P46" s="258">
        <f>'Rider Rates'!$D$107</f>
        <v>45987</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f>'Rider Rates'!$B$113</f>
        <v>3.8972999999999998E-3</v>
      </c>
      <c r="H48" s="276"/>
      <c r="I48" s="285"/>
      <c r="J48" s="281">
        <f>SUM(G48:H48)</f>
        <v>3.8972999999999998E-3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26.16</v>
      </c>
      <c r="O55" s="298">
        <f>SUM(O27:O54)</f>
        <v>26.16</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35.56</v>
      </c>
      <c r="O57" s="303">
        <f>O23+O55</f>
        <v>35.56</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35.56</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35.56</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XDnXJ5PMytMEcMieIS3w4Ea/QvV2fSTKdw94lr0kNPqt1elH/jU5Fe+LTfxdjutlfk+mQlO74MaZwZzykTIM5A==" saltValue="lxroGM84ac/oKqMw+scHC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361"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15362"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5363"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4"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5"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6"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946AC-D182-4050-89B3-7BE7B3BEC988}">
  <dimension ref="A1:AD65"/>
  <sheetViews>
    <sheetView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7" t="s">
        <v>50</v>
      </c>
      <c r="B1" s="457"/>
      <c r="C1" s="457"/>
      <c r="D1" s="457"/>
      <c r="E1" s="457"/>
      <c r="F1" s="457"/>
      <c r="G1" s="457"/>
      <c r="H1" s="457"/>
      <c r="I1" s="457"/>
      <c r="J1" s="457"/>
      <c r="K1" s="457"/>
      <c r="L1" s="457"/>
      <c r="M1" s="457"/>
      <c r="N1" s="457"/>
      <c r="O1" s="457"/>
      <c r="P1" s="457"/>
    </row>
    <row r="2" spans="1:30" ht="20.25" x14ac:dyDescent="0.3">
      <c r="A2" s="457" t="s">
        <v>138</v>
      </c>
      <c r="B2" s="457"/>
      <c r="C2" s="457"/>
      <c r="D2" s="457"/>
      <c r="E2" s="457"/>
      <c r="F2" s="457"/>
      <c r="G2" s="457"/>
      <c r="H2" s="457"/>
      <c r="I2" s="457"/>
      <c r="J2" s="457"/>
      <c r="K2" s="457"/>
      <c r="L2" s="457"/>
      <c r="M2" s="457"/>
      <c r="N2" s="457"/>
      <c r="O2" s="457"/>
      <c r="P2" s="457"/>
    </row>
    <row r="3" spans="1:30" ht="18" x14ac:dyDescent="0.25">
      <c r="A3" s="458" t="s">
        <v>197</v>
      </c>
      <c r="B3" s="458"/>
      <c r="C3" s="458"/>
      <c r="D3" s="458"/>
      <c r="E3" s="458"/>
      <c r="F3" s="458"/>
      <c r="G3" s="458"/>
      <c r="H3" s="458"/>
      <c r="I3" s="458"/>
      <c r="J3" s="458"/>
      <c r="K3" s="458"/>
      <c r="L3" s="458"/>
      <c r="M3" s="458"/>
      <c r="N3" s="458"/>
      <c r="O3" s="458"/>
      <c r="P3" s="458"/>
    </row>
    <row r="4" spans="1:30" ht="15.75" x14ac:dyDescent="0.25">
      <c r="A4" s="459" t="str">
        <f>'Customer Info'!B12</f>
        <v>Breakdown of Charges Based on Entered Information</v>
      </c>
      <c r="B4" s="459"/>
      <c r="C4" s="459"/>
      <c r="D4" s="459"/>
      <c r="E4" s="459"/>
      <c r="F4" s="459"/>
      <c r="G4" s="459"/>
      <c r="H4" s="459"/>
      <c r="I4" s="459"/>
      <c r="J4" s="459"/>
      <c r="K4" s="459"/>
      <c r="L4" s="459"/>
      <c r="M4" s="459"/>
      <c r="N4" s="459"/>
      <c r="O4" s="459"/>
      <c r="P4" s="459"/>
    </row>
    <row r="5" spans="1:30" ht="15" x14ac:dyDescent="0.2">
      <c r="A5" s="231"/>
      <c r="B5" s="231"/>
      <c r="C5" s="231"/>
      <c r="D5" s="231"/>
      <c r="E5" s="231"/>
      <c r="F5" s="231"/>
      <c r="G5" s="231"/>
      <c r="H5" s="231" t="s">
        <v>198</v>
      </c>
      <c r="I5" s="231"/>
      <c r="J5" s="231"/>
      <c r="K5" s="231"/>
    </row>
    <row r="6" spans="1:30" x14ac:dyDescent="0.2">
      <c r="A6" s="232">
        <f ca="1">TODAY()</f>
        <v>46051</v>
      </c>
      <c r="B6" s="233"/>
      <c r="C6" s="232"/>
      <c r="D6" s="232"/>
      <c r="E6" s="232"/>
      <c r="F6" s="232"/>
      <c r="G6" s="232"/>
      <c r="H6" s="232"/>
      <c r="I6" s="232"/>
    </row>
    <row r="7" spans="1:30" ht="26.25" x14ac:dyDescent="0.4">
      <c r="A7" s="460"/>
      <c r="B7" s="460"/>
      <c r="C7" s="460"/>
      <c r="D7" s="460"/>
      <c r="E7" s="460"/>
      <c r="F7" s="460"/>
      <c r="G7" s="460"/>
      <c r="H7" s="460"/>
      <c r="I7" s="460"/>
      <c r="J7" s="460"/>
      <c r="K7" s="460"/>
      <c r="L7" s="460"/>
      <c r="M7" s="460"/>
      <c r="N7" s="460"/>
      <c r="O7" s="460"/>
      <c r="P7" s="460"/>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2</v>
      </c>
      <c r="C11" s="240" t="str">
        <f>LOOKUP(B11,R11:AD11,R12:AD12)</f>
        <v>February</v>
      </c>
      <c r="D11" s="240">
        <f>'Customer Info'!C9</f>
        <v>2026</v>
      </c>
      <c r="S11" s="230">
        <v>1</v>
      </c>
      <c r="T11" s="230">
        <v>2</v>
      </c>
      <c r="U11" s="230">
        <v>3</v>
      </c>
      <c r="V11" s="230">
        <v>4</v>
      </c>
      <c r="W11" s="230">
        <v>5</v>
      </c>
      <c r="X11" s="230">
        <v>6</v>
      </c>
      <c r="Y11" s="230">
        <v>7</v>
      </c>
      <c r="Z11" s="230">
        <v>8</v>
      </c>
      <c r="AA11" s="230">
        <v>9</v>
      </c>
      <c r="AB11" s="230">
        <v>10</v>
      </c>
      <c r="AC11" s="230">
        <v>11</v>
      </c>
      <c r="AD11" s="230">
        <v>12</v>
      </c>
    </row>
    <row r="12" spans="1:30" x14ac:dyDescent="0.2">
      <c r="A12" s="461"/>
      <c r="B12" s="461"/>
      <c r="C12" s="461"/>
      <c r="D12" s="461"/>
      <c r="E12" s="461"/>
      <c r="F12" s="461"/>
      <c r="G12" s="461"/>
      <c r="H12" s="461"/>
      <c r="I12" s="461"/>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3" t="s">
        <v>71</v>
      </c>
      <c r="H19" s="454"/>
      <c r="I19" s="454"/>
      <c r="J19" s="455"/>
      <c r="K19" s="245"/>
      <c r="L19" s="456" t="s">
        <v>72</v>
      </c>
      <c r="M19" s="456"/>
      <c r="N19" s="456"/>
      <c r="O19" s="456"/>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Rates'!B146</f>
        <v>138.5</v>
      </c>
      <c r="J21" s="256">
        <f>SUM(G21:I21)</f>
        <v>138.5</v>
      </c>
      <c r="L21" s="257"/>
      <c r="M21" s="257"/>
      <c r="N21" s="257">
        <f>I21</f>
        <v>138.5</v>
      </c>
      <c r="O21" s="256">
        <f>SUM(L21:N21)</f>
        <v>138.5</v>
      </c>
      <c r="P21" s="258">
        <v>44531</v>
      </c>
    </row>
    <row r="22" spans="1:22" x14ac:dyDescent="0.2">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
      <c r="A23" s="264" t="s">
        <v>82</v>
      </c>
      <c r="B23" s="264"/>
      <c r="C23" s="264"/>
      <c r="D23" s="265"/>
      <c r="E23" s="265"/>
      <c r="F23" s="264"/>
      <c r="G23" s="264"/>
      <c r="H23" s="264"/>
      <c r="I23" s="264"/>
      <c r="J23" s="264"/>
      <c r="K23" s="266"/>
      <c r="L23" s="267"/>
      <c r="M23" s="267"/>
      <c r="N23" s="267">
        <f>SUM(N21:N22)</f>
        <v>138.5</v>
      </c>
      <c r="O23" s="267">
        <f>SUM(O21:O22)</f>
        <v>138.5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5.5215000000000004E-3</v>
      </c>
      <c r="J27" s="276">
        <f t="shared" ref="J27:J47" si="0">SUM(G27:I27)</f>
        <v>5.5215000000000004E-3</v>
      </c>
      <c r="K27" s="263" t="s">
        <v>85</v>
      </c>
      <c r="L27" s="91"/>
      <c r="M27" s="91"/>
      <c r="N27" s="91">
        <f t="shared" ref="N27:N32" si="1">ROUND(D27*I27,2)</f>
        <v>0</v>
      </c>
      <c r="O27" s="91">
        <f t="shared" ref="O27:O48" si="2">SUM(L27:N27)</f>
        <v>0</v>
      </c>
      <c r="P27" s="258">
        <f>'Rider Rates'!$D$4</f>
        <v>46022</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46022</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f>'Rider Rates'!B24</f>
        <v>7.4289999999999995E-2</v>
      </c>
      <c r="H34" s="276"/>
      <c r="I34" s="276"/>
      <c r="J34" s="281">
        <f>SUM(G34:H34)</f>
        <v>7.4289999999999995E-2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Rates'!B45</f>
        <v>1.6396899999999999E-2</v>
      </c>
      <c r="H35" s="276"/>
      <c r="I35" s="276"/>
      <c r="J35" s="281">
        <f>SUM(G35:H35)</f>
        <v>1.6396899999999999E-2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Rates'!C45</f>
        <v>6.9249999999999997E-3</v>
      </c>
      <c r="H36" s="276"/>
      <c r="I36" s="276"/>
      <c r="J36" s="281">
        <f>SUM(G36:H36)</f>
        <v>6.9249999999999997E-3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2.7588999999999999E-3</v>
      </c>
      <c r="H37" s="276"/>
      <c r="I37" s="276"/>
      <c r="J37" s="281">
        <f>SUM(G37:H37)</f>
        <v>2.7588999999999999E-3</v>
      </c>
      <c r="K37" s="263" t="s">
        <v>85</v>
      </c>
      <c r="L37" s="91">
        <f>ROUND(D37*G37,2)</f>
        <v>0</v>
      </c>
      <c r="M37" s="91"/>
      <c r="N37" s="91"/>
      <c r="O37" s="91">
        <f t="shared" si="2"/>
        <v>0</v>
      </c>
      <c r="P37" s="258">
        <f>'Rider Rates'!$D$49</f>
        <v>46022</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138.5</v>
      </c>
      <c r="E42" s="260" t="s">
        <v>92</v>
      </c>
      <c r="F42" s="261" t="s">
        <v>80</v>
      </c>
      <c r="G42" s="284"/>
      <c r="H42" s="253"/>
      <c r="I42" s="285">
        <f>'Rider Rates'!$B$87</f>
        <v>3.5344300000000002E-2</v>
      </c>
      <c r="J42" s="285">
        <f t="shared" si="0"/>
        <v>3.5344300000000002E-2</v>
      </c>
      <c r="K42" s="263"/>
      <c r="L42" s="91"/>
      <c r="M42" s="91"/>
      <c r="N42" s="91">
        <f>ROUND(D42*I42,2)</f>
        <v>4.9000000000000004</v>
      </c>
      <c r="O42" s="91">
        <f t="shared" si="2"/>
        <v>4.9000000000000004</v>
      </c>
      <c r="P42" s="258">
        <f>'Rider Rates'!$D$87</f>
        <v>45929</v>
      </c>
      <c r="Q42" s="261"/>
      <c r="R42" s="277"/>
      <c r="S42" s="263"/>
      <c r="T42" s="273"/>
      <c r="V42" s="274"/>
    </row>
    <row r="43" spans="1:22" x14ac:dyDescent="0.2">
      <c r="A43" s="233" t="s">
        <v>101</v>
      </c>
      <c r="D43" s="279">
        <f>$N$23</f>
        <v>138.5</v>
      </c>
      <c r="E43" s="260" t="s">
        <v>92</v>
      </c>
      <c r="F43" s="261" t="s">
        <v>80</v>
      </c>
      <c r="G43" s="286"/>
      <c r="H43" s="253"/>
      <c r="I43" s="285">
        <f>'Rider Rates'!$B$89</f>
        <v>7.8822199999999995E-2</v>
      </c>
      <c r="J43" s="285">
        <f t="shared" si="0"/>
        <v>7.8822199999999995E-2</v>
      </c>
      <c r="K43" s="263"/>
      <c r="L43" s="91"/>
      <c r="M43" s="91"/>
      <c r="N43" s="91">
        <f>ROUND(D43*I43,2)</f>
        <v>10.92</v>
      </c>
      <c r="O43" s="91">
        <f t="shared" si="2"/>
        <v>10.92</v>
      </c>
      <c r="P43" s="258">
        <f>'Rider Rates'!$D$89</f>
        <v>45987</v>
      </c>
      <c r="Q43" s="261"/>
      <c r="R43" s="277"/>
      <c r="S43" s="263"/>
      <c r="T43" s="273"/>
      <c r="V43" s="274"/>
    </row>
    <row r="44" spans="1:22" x14ac:dyDescent="0.2">
      <c r="A44" s="233" t="s">
        <v>102</v>
      </c>
      <c r="D44" s="279"/>
      <c r="E44" s="260" t="s">
        <v>55</v>
      </c>
      <c r="F44" s="261"/>
      <c r="G44" s="286"/>
      <c r="H44" s="253"/>
      <c r="I44" s="283">
        <f>'Rider Rates'!$B$93</f>
        <v>21.84</v>
      </c>
      <c r="J44" s="283">
        <f t="shared" si="0"/>
        <v>21.84</v>
      </c>
      <c r="K44" s="263"/>
      <c r="L44" s="91"/>
      <c r="M44" s="91"/>
      <c r="N44" s="91">
        <f>I44</f>
        <v>21.84</v>
      </c>
      <c r="O44" s="91">
        <f t="shared" si="2"/>
        <v>21.84</v>
      </c>
      <c r="P44" s="258">
        <f>'Rider Rates'!$D$93</f>
        <v>46022</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138.5</v>
      </c>
      <c r="E46" s="260" t="s">
        <v>92</v>
      </c>
      <c r="F46" s="261" t="s">
        <v>80</v>
      </c>
      <c r="G46" s="286"/>
      <c r="H46" s="253"/>
      <c r="I46" s="285">
        <f>'Rider Rates'!$B$107</f>
        <v>0.24079249999999999</v>
      </c>
      <c r="J46" s="285">
        <f t="shared" si="0"/>
        <v>0.24079249999999999</v>
      </c>
      <c r="K46" s="263"/>
      <c r="L46" s="91"/>
      <c r="M46" s="91"/>
      <c r="N46" s="91">
        <f>ROUND(D46*I46,2)</f>
        <v>33.35</v>
      </c>
      <c r="O46" s="91">
        <f t="shared" si="2"/>
        <v>33.35</v>
      </c>
      <c r="P46" s="258">
        <f>'Rider Rates'!$D$107</f>
        <v>45987</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f>'Rider Rates'!$B$114</f>
        <v>3.7618E-3</v>
      </c>
      <c r="H48" s="276"/>
      <c r="I48" s="285"/>
      <c r="J48" s="281">
        <f>SUM(G48:H48)</f>
        <v>3.7618E-3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71.999999999999986</v>
      </c>
      <c r="O55" s="298">
        <f>SUM(O27:O54)</f>
        <v>71.999999999999986</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210.5</v>
      </c>
      <c r="O57" s="303">
        <f>O23+O55</f>
        <v>210.5</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210.5</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210.5</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9gTLwPs3NMq88VjbbDGZmyMZp+44orASefgC7JL73/jAteBIx5y8cQTImD4KJupLndQDcU0DQ07cCCcwZ5617Q==" saltValue="xkyD8mRqOcl3dwfpGkQ/6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385"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16386"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6387"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88"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89"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90"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8954-E888-4FE1-BD7E-E0CE9AA057F3}">
  <dimension ref="A1:AD65"/>
  <sheetViews>
    <sheetView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7" t="s">
        <v>50</v>
      </c>
      <c r="B1" s="457"/>
      <c r="C1" s="457"/>
      <c r="D1" s="457"/>
      <c r="E1" s="457"/>
      <c r="F1" s="457"/>
      <c r="G1" s="457"/>
      <c r="H1" s="457"/>
      <c r="I1" s="457"/>
      <c r="J1" s="457"/>
      <c r="K1" s="457"/>
      <c r="L1" s="457"/>
      <c r="M1" s="457"/>
      <c r="N1" s="457"/>
      <c r="O1" s="457"/>
      <c r="P1" s="457"/>
    </row>
    <row r="2" spans="1:30" ht="20.25" x14ac:dyDescent="0.3">
      <c r="A2" s="457" t="s">
        <v>138</v>
      </c>
      <c r="B2" s="457"/>
      <c r="C2" s="457"/>
      <c r="D2" s="457"/>
      <c r="E2" s="457"/>
      <c r="F2" s="457"/>
      <c r="G2" s="457"/>
      <c r="H2" s="457"/>
      <c r="I2" s="457"/>
      <c r="J2" s="457"/>
      <c r="K2" s="457"/>
      <c r="L2" s="457"/>
      <c r="M2" s="457"/>
      <c r="N2" s="457"/>
      <c r="O2" s="457"/>
      <c r="P2" s="457"/>
    </row>
    <row r="3" spans="1:30" ht="18" x14ac:dyDescent="0.25">
      <c r="A3" s="458" t="s">
        <v>199</v>
      </c>
      <c r="B3" s="458"/>
      <c r="C3" s="458"/>
      <c r="D3" s="458"/>
      <c r="E3" s="458"/>
      <c r="F3" s="458"/>
      <c r="G3" s="458"/>
      <c r="H3" s="458"/>
      <c r="I3" s="458"/>
      <c r="J3" s="458"/>
      <c r="K3" s="458"/>
      <c r="L3" s="458"/>
      <c r="M3" s="458"/>
      <c r="N3" s="458"/>
      <c r="O3" s="458"/>
      <c r="P3" s="458"/>
    </row>
    <row r="4" spans="1:30" ht="15.75" x14ac:dyDescent="0.25">
      <c r="A4" s="459" t="str">
        <f>'Customer Info'!B12</f>
        <v>Breakdown of Charges Based on Entered Information</v>
      </c>
      <c r="B4" s="459"/>
      <c r="C4" s="459"/>
      <c r="D4" s="459"/>
      <c r="E4" s="459"/>
      <c r="F4" s="459"/>
      <c r="G4" s="459"/>
      <c r="H4" s="459"/>
      <c r="I4" s="459"/>
      <c r="J4" s="459"/>
      <c r="K4" s="459"/>
      <c r="L4" s="459"/>
      <c r="M4" s="459"/>
      <c r="N4" s="459"/>
      <c r="O4" s="459"/>
      <c r="P4" s="459"/>
    </row>
    <row r="5" spans="1:30" ht="15" x14ac:dyDescent="0.2">
      <c r="A5" s="231"/>
      <c r="B5" s="231"/>
      <c r="C5" s="231"/>
      <c r="D5" s="231"/>
      <c r="E5" s="231"/>
      <c r="F5" s="231"/>
      <c r="G5" s="231"/>
      <c r="H5" s="231" t="s">
        <v>200</v>
      </c>
      <c r="I5" s="231"/>
      <c r="J5" s="231"/>
      <c r="K5" s="231"/>
    </row>
    <row r="6" spans="1:30" x14ac:dyDescent="0.2">
      <c r="A6" s="232">
        <f ca="1">TODAY()</f>
        <v>46051</v>
      </c>
      <c r="B6" s="233"/>
      <c r="C6" s="232"/>
      <c r="D6" s="232"/>
      <c r="E6" s="232"/>
      <c r="F6" s="232"/>
      <c r="G6" s="232"/>
      <c r="H6" s="232"/>
      <c r="I6" s="232"/>
    </row>
    <row r="7" spans="1:30" ht="26.25" x14ac:dyDescent="0.4">
      <c r="A7" s="460"/>
      <c r="B7" s="460"/>
      <c r="C7" s="460"/>
      <c r="D7" s="460"/>
      <c r="E7" s="460"/>
      <c r="F7" s="460"/>
      <c r="G7" s="460"/>
      <c r="H7" s="460"/>
      <c r="I7" s="460"/>
      <c r="J7" s="460"/>
      <c r="K7" s="460"/>
      <c r="L7" s="460"/>
      <c r="M7" s="460"/>
      <c r="N7" s="460"/>
      <c r="O7" s="460"/>
      <c r="P7" s="460"/>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2</v>
      </c>
      <c r="C11" s="240" t="str">
        <f>LOOKUP(B11,R11:AD11,R12:AD12)</f>
        <v>February</v>
      </c>
      <c r="D11" s="240">
        <f>'Customer Info'!C9</f>
        <v>2026</v>
      </c>
      <c r="S11" s="230">
        <v>1</v>
      </c>
      <c r="T11" s="230">
        <v>2</v>
      </c>
      <c r="U11" s="230">
        <v>3</v>
      </c>
      <c r="V11" s="230">
        <v>4</v>
      </c>
      <c r="W11" s="230">
        <v>5</v>
      </c>
      <c r="X11" s="230">
        <v>6</v>
      </c>
      <c r="Y11" s="230">
        <v>7</v>
      </c>
      <c r="Z11" s="230">
        <v>8</v>
      </c>
      <c r="AA11" s="230">
        <v>9</v>
      </c>
      <c r="AB11" s="230">
        <v>10</v>
      </c>
      <c r="AC11" s="230">
        <v>11</v>
      </c>
      <c r="AD11" s="230">
        <v>12</v>
      </c>
    </row>
    <row r="12" spans="1:30" x14ac:dyDescent="0.2">
      <c r="A12" s="461"/>
      <c r="B12" s="461"/>
      <c r="C12" s="461"/>
      <c r="D12" s="461"/>
      <c r="E12" s="461"/>
      <c r="F12" s="461"/>
      <c r="G12" s="461"/>
      <c r="H12" s="461"/>
      <c r="I12" s="461"/>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3" t="s">
        <v>71</v>
      </c>
      <c r="H19" s="454"/>
      <c r="I19" s="454"/>
      <c r="J19" s="455"/>
      <c r="K19" s="245"/>
      <c r="L19" s="456" t="s">
        <v>72</v>
      </c>
      <c r="M19" s="456"/>
      <c r="N19" s="456"/>
      <c r="O19" s="456"/>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Rates'!B147</f>
        <v>825</v>
      </c>
      <c r="J21" s="256">
        <f>SUM(G21:I21)</f>
        <v>825</v>
      </c>
      <c r="L21" s="257"/>
      <c r="M21" s="257"/>
      <c r="N21" s="257">
        <f>I21</f>
        <v>825</v>
      </c>
      <c r="O21" s="256">
        <f>SUM(L21:N21)</f>
        <v>825</v>
      </c>
      <c r="P21" s="258">
        <v>44531</v>
      </c>
    </row>
    <row r="22" spans="1:22" x14ac:dyDescent="0.2">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
      <c r="A23" s="264" t="s">
        <v>82</v>
      </c>
      <c r="B23" s="264"/>
      <c r="C23" s="264"/>
      <c r="D23" s="265"/>
      <c r="E23" s="265"/>
      <c r="F23" s="264"/>
      <c r="G23" s="264"/>
      <c r="H23" s="264"/>
      <c r="I23" s="264"/>
      <c r="J23" s="264"/>
      <c r="K23" s="266"/>
      <c r="L23" s="267"/>
      <c r="M23" s="267"/>
      <c r="N23" s="267">
        <f>SUM(N21:N22)</f>
        <v>825</v>
      </c>
      <c r="O23" s="267">
        <f>SUM(O21:O22)</f>
        <v>825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5.5215000000000004E-3</v>
      </c>
      <c r="J27" s="276">
        <f t="shared" ref="J27:J47" si="0">SUM(G27:I27)</f>
        <v>5.5215000000000004E-3</v>
      </c>
      <c r="K27" s="263" t="s">
        <v>85</v>
      </c>
      <c r="L27" s="91"/>
      <c r="M27" s="91"/>
      <c r="N27" s="91">
        <f t="shared" ref="N27:N32" si="1">ROUND(D27*I27,2)</f>
        <v>0</v>
      </c>
      <c r="O27" s="91">
        <f t="shared" ref="O27:O48" si="2">SUM(L27:N27)</f>
        <v>0</v>
      </c>
      <c r="P27" s="258">
        <f>'Rider Rates'!$D$4</f>
        <v>46022</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46022</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f>'Rider Rates'!B25</f>
        <v>7.2950000000000001E-2</v>
      </c>
      <c r="H34" s="276"/>
      <c r="I34" s="276"/>
      <c r="J34" s="281">
        <f>SUM(G34:H34)</f>
        <v>7.2950000000000001E-2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Rates'!B46</f>
        <v>1.9659699999999999E-2</v>
      </c>
      <c r="H35" s="276"/>
      <c r="I35" s="276"/>
      <c r="J35" s="281">
        <f>SUM(G35:H35)</f>
        <v>1.9659699999999999E-2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Rates'!C46</f>
        <v>8.1499999999999993E-3</v>
      </c>
      <c r="H36" s="276"/>
      <c r="I36" s="276"/>
      <c r="J36" s="281">
        <f>SUM(G36:H36)</f>
        <v>8.1499999999999993E-3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2.7588999999999999E-3</v>
      </c>
      <c r="H37" s="276"/>
      <c r="I37" s="276"/>
      <c r="J37" s="281">
        <f>SUM(G37:H37)</f>
        <v>2.7588999999999999E-3</v>
      </c>
      <c r="K37" s="263" t="s">
        <v>85</v>
      </c>
      <c r="L37" s="91">
        <f>ROUND(D37*G37,2)</f>
        <v>0</v>
      </c>
      <c r="M37" s="91"/>
      <c r="N37" s="91"/>
      <c r="O37" s="91">
        <f t="shared" si="2"/>
        <v>0</v>
      </c>
      <c r="P37" s="258">
        <f>'Rider Rates'!$D$49</f>
        <v>46022</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825</v>
      </c>
      <c r="E42" s="260" t="s">
        <v>92</v>
      </c>
      <c r="F42" s="261" t="s">
        <v>80</v>
      </c>
      <c r="G42" s="284"/>
      <c r="H42" s="253"/>
      <c r="I42" s="285">
        <f>'Rider Rates'!$B$87</f>
        <v>3.5344300000000002E-2</v>
      </c>
      <c r="J42" s="285">
        <f t="shared" si="0"/>
        <v>3.5344300000000002E-2</v>
      </c>
      <c r="K42" s="263"/>
      <c r="L42" s="91"/>
      <c r="M42" s="91"/>
      <c r="N42" s="91">
        <f>ROUND(D42*I42,2)</f>
        <v>29.16</v>
      </c>
      <c r="O42" s="91">
        <f t="shared" si="2"/>
        <v>29.16</v>
      </c>
      <c r="P42" s="258">
        <f>'Rider Rates'!$D$87</f>
        <v>45929</v>
      </c>
      <c r="Q42" s="261"/>
      <c r="R42" s="277"/>
      <c r="S42" s="263"/>
      <c r="T42" s="273"/>
      <c r="V42" s="274"/>
    </row>
    <row r="43" spans="1:22" x14ac:dyDescent="0.2">
      <c r="A43" s="233" t="s">
        <v>101</v>
      </c>
      <c r="D43" s="279">
        <f>$N$23</f>
        <v>825</v>
      </c>
      <c r="E43" s="260" t="s">
        <v>92</v>
      </c>
      <c r="F43" s="261" t="s">
        <v>80</v>
      </c>
      <c r="G43" s="286"/>
      <c r="H43" s="253"/>
      <c r="I43" s="285">
        <f>'Rider Rates'!$B$89</f>
        <v>7.8822199999999995E-2</v>
      </c>
      <c r="J43" s="285">
        <f t="shared" si="0"/>
        <v>7.8822199999999995E-2</v>
      </c>
      <c r="K43" s="263"/>
      <c r="L43" s="91"/>
      <c r="M43" s="91"/>
      <c r="N43" s="91">
        <f>ROUND(D43*I43,2)</f>
        <v>65.03</v>
      </c>
      <c r="O43" s="91">
        <f t="shared" si="2"/>
        <v>65.03</v>
      </c>
      <c r="P43" s="258">
        <f>'Rider Rates'!$D$89</f>
        <v>45987</v>
      </c>
      <c r="Q43" s="261"/>
      <c r="R43" s="277"/>
      <c r="S43" s="263"/>
      <c r="T43" s="273"/>
      <c r="V43" s="274"/>
    </row>
    <row r="44" spans="1:22" x14ac:dyDescent="0.2">
      <c r="A44" s="233" t="s">
        <v>102</v>
      </c>
      <c r="D44" s="279"/>
      <c r="E44" s="260" t="s">
        <v>55</v>
      </c>
      <c r="F44" s="261"/>
      <c r="G44" s="286"/>
      <c r="H44" s="253"/>
      <c r="I44" s="283">
        <f>'Rider Rates'!$B$93</f>
        <v>21.84</v>
      </c>
      <c r="J44" s="283">
        <f t="shared" si="0"/>
        <v>21.84</v>
      </c>
      <c r="K44" s="263"/>
      <c r="L44" s="91"/>
      <c r="M44" s="91"/>
      <c r="N44" s="91">
        <f>I44</f>
        <v>21.84</v>
      </c>
      <c r="O44" s="91">
        <f t="shared" si="2"/>
        <v>21.84</v>
      </c>
      <c r="P44" s="258">
        <f>'Rider Rates'!$D$93</f>
        <v>46022</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825</v>
      </c>
      <c r="E46" s="260" t="s">
        <v>92</v>
      </c>
      <c r="F46" s="261" t="s">
        <v>80</v>
      </c>
      <c r="G46" s="286"/>
      <c r="H46" s="253"/>
      <c r="I46" s="285">
        <f>'Rider Rates'!$B$107</f>
        <v>0.24079249999999999</v>
      </c>
      <c r="J46" s="285">
        <f t="shared" si="0"/>
        <v>0.24079249999999999</v>
      </c>
      <c r="K46" s="263"/>
      <c r="L46" s="91"/>
      <c r="M46" s="91"/>
      <c r="N46" s="91">
        <f>ROUND(D46*I46,2)</f>
        <v>198.65</v>
      </c>
      <c r="O46" s="91">
        <f t="shared" si="2"/>
        <v>198.65</v>
      </c>
      <c r="P46" s="258">
        <f>'Rider Rates'!$D$107</f>
        <v>45987</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f>'Rider Rates'!B115</f>
        <v>3.6865999999999999E-3</v>
      </c>
      <c r="H48" s="276"/>
      <c r="I48" s="285"/>
      <c r="J48" s="281">
        <f>SUM(G48:H48)</f>
        <v>3.6865999999999999E-3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315.67</v>
      </c>
      <c r="O55" s="298">
        <f>SUM(O27:O54)</f>
        <v>315.67</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1140.67</v>
      </c>
      <c r="O57" s="303">
        <f>O23+O55</f>
        <v>1140.67</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1140.67</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1140.67</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P81RQGtnthKS4s1wTTgoP4hA0xKtpSrjvjfBrkmyWb6xOmpqEI560piw2ooOvcg1Q7PAxyo2q0HojWigY02CJg==" saltValue="6wuDs5WLItOrkK8f4mgR6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7409"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17410"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7411"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2"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3"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4"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4253-EBFD-4BE5-AE8D-50FDFFC354BF}">
  <sheetPr>
    <pageSetUpPr fitToPage="1"/>
  </sheetPr>
  <dimension ref="A1:IV94"/>
  <sheetViews>
    <sheetView showGridLines="0" zoomScale="80" zoomScaleNormal="80" workbookViewId="0">
      <selection sqref="A1:P1"/>
    </sheetView>
  </sheetViews>
  <sheetFormatPr defaultColWidth="9.140625" defaultRowHeight="12.75" x14ac:dyDescent="0.2"/>
  <cols>
    <col min="1" max="1" width="31" style="48" customWidth="1"/>
    <col min="2" max="2" width="2.140625" style="48" customWidth="1"/>
    <col min="3" max="3" width="19.42578125" style="48" customWidth="1"/>
    <col min="4" max="4" width="15.42578125" style="48" customWidth="1"/>
    <col min="5" max="5" width="9.85546875" style="48" customWidth="1"/>
    <col min="6" max="6" width="3.5703125" style="48" customWidth="1"/>
    <col min="7" max="8" width="13.42578125" style="48" customWidth="1"/>
    <col min="9" max="9" width="14.5703125" style="48" customWidth="1"/>
    <col min="10" max="10" width="13.42578125" style="48" customWidth="1"/>
    <col min="11" max="11" width="7" style="48" customWidth="1"/>
    <col min="12" max="12" width="15.140625" style="48" customWidth="1"/>
    <col min="13" max="14" width="14.42578125" style="48" customWidth="1"/>
    <col min="15" max="15" width="16.42578125" style="48" bestFit="1" customWidth="1"/>
    <col min="16" max="16" width="13.85546875" style="48" bestFit="1" customWidth="1"/>
    <col min="17" max="17" width="9.140625" style="48"/>
    <col min="18" max="26" width="9.140625" style="48" hidden="1" customWidth="1"/>
    <col min="27" max="27" width="10.5703125" style="48" hidden="1" customWidth="1"/>
    <col min="28" max="29" width="9.140625" style="48" hidden="1" customWidth="1"/>
    <col min="30" max="30" width="10" style="48" hidden="1" customWidth="1"/>
    <col min="31" max="16384" width="9.140625" style="48"/>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62" t="s">
        <v>138</v>
      </c>
      <c r="B2" s="462"/>
      <c r="C2" s="462"/>
      <c r="D2" s="462"/>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462"/>
      <c r="CZ2" s="462"/>
      <c r="DA2" s="462"/>
      <c r="DB2" s="462"/>
      <c r="DC2" s="462"/>
      <c r="DD2" s="462"/>
      <c r="DE2" s="462"/>
      <c r="DF2" s="462"/>
      <c r="DG2" s="462"/>
      <c r="DH2" s="462"/>
      <c r="DI2" s="462"/>
      <c r="DJ2" s="462"/>
      <c r="DK2" s="462"/>
      <c r="DL2" s="462"/>
      <c r="DM2" s="462"/>
      <c r="DN2" s="462"/>
      <c r="DO2" s="462"/>
      <c r="DP2" s="462"/>
      <c r="DQ2" s="462"/>
      <c r="DR2" s="462"/>
      <c r="DS2" s="462"/>
      <c r="DT2" s="462"/>
      <c r="DU2" s="462"/>
      <c r="DV2" s="462"/>
      <c r="DW2" s="462"/>
      <c r="DX2" s="462"/>
      <c r="DY2" s="462"/>
      <c r="DZ2" s="462"/>
      <c r="EA2" s="462"/>
      <c r="EB2" s="462"/>
      <c r="EC2" s="462"/>
      <c r="ED2" s="462"/>
      <c r="EE2" s="462"/>
      <c r="EF2" s="462"/>
      <c r="EG2" s="462"/>
      <c r="EH2" s="462"/>
      <c r="EI2" s="462"/>
      <c r="EJ2" s="462"/>
      <c r="EK2" s="462"/>
      <c r="EL2" s="462"/>
      <c r="EM2" s="462"/>
      <c r="EN2" s="462"/>
      <c r="EO2" s="462"/>
      <c r="EP2" s="462"/>
      <c r="EQ2" s="462"/>
      <c r="ER2" s="462"/>
      <c r="ES2" s="462"/>
      <c r="ET2" s="462"/>
      <c r="EU2" s="462"/>
      <c r="EV2" s="462"/>
      <c r="EW2" s="462"/>
      <c r="EX2" s="462"/>
      <c r="EY2" s="462"/>
      <c r="EZ2" s="462"/>
      <c r="FA2" s="462"/>
      <c r="FB2" s="462"/>
      <c r="FC2" s="462"/>
      <c r="FD2" s="462"/>
      <c r="FE2" s="462"/>
      <c r="FF2" s="462"/>
      <c r="FG2" s="462"/>
      <c r="FH2" s="462"/>
      <c r="FI2" s="462"/>
      <c r="FJ2" s="462"/>
      <c r="FK2" s="462"/>
      <c r="FL2" s="462"/>
      <c r="FM2" s="462"/>
      <c r="FN2" s="462"/>
      <c r="FO2" s="462"/>
      <c r="FP2" s="462"/>
      <c r="FQ2" s="462"/>
      <c r="FR2" s="462"/>
      <c r="FS2" s="462"/>
      <c r="FT2" s="462"/>
      <c r="FU2" s="462"/>
      <c r="FV2" s="462"/>
      <c r="FW2" s="462"/>
      <c r="FX2" s="462"/>
      <c r="FY2" s="462"/>
      <c r="FZ2" s="462"/>
      <c r="GA2" s="462"/>
      <c r="GB2" s="462"/>
      <c r="GC2" s="462"/>
      <c r="GD2" s="462"/>
      <c r="GE2" s="462"/>
      <c r="GF2" s="462"/>
      <c r="GG2" s="462"/>
      <c r="GH2" s="462"/>
      <c r="GI2" s="462"/>
      <c r="GJ2" s="462"/>
      <c r="GK2" s="462"/>
      <c r="GL2" s="462"/>
      <c r="GM2" s="462"/>
      <c r="GN2" s="462"/>
      <c r="GO2" s="462"/>
      <c r="GP2" s="462"/>
      <c r="GQ2" s="462"/>
      <c r="GR2" s="462"/>
      <c r="GS2" s="462"/>
      <c r="GT2" s="462"/>
      <c r="GU2" s="462"/>
      <c r="GV2" s="462"/>
      <c r="GW2" s="462"/>
      <c r="GX2" s="462"/>
      <c r="GY2" s="462"/>
      <c r="GZ2" s="462"/>
      <c r="HA2" s="462"/>
      <c r="HB2" s="462"/>
      <c r="HC2" s="462"/>
      <c r="HD2" s="462"/>
      <c r="HE2" s="462"/>
      <c r="HF2" s="462"/>
      <c r="HG2" s="462"/>
      <c r="HH2" s="462"/>
      <c r="HI2" s="462"/>
      <c r="HJ2" s="462"/>
      <c r="HK2" s="462"/>
      <c r="HL2" s="462"/>
      <c r="HM2" s="462"/>
      <c r="HN2" s="462"/>
      <c r="HO2" s="462"/>
      <c r="HP2" s="462"/>
      <c r="HQ2" s="462"/>
      <c r="HR2" s="462"/>
      <c r="HS2" s="462"/>
      <c r="HT2" s="462"/>
      <c r="HU2" s="462"/>
      <c r="HV2" s="462"/>
      <c r="HW2" s="462"/>
      <c r="HX2" s="462"/>
      <c r="HY2" s="462"/>
      <c r="HZ2" s="462"/>
      <c r="IA2" s="462"/>
      <c r="IB2" s="462"/>
      <c r="IC2" s="462"/>
      <c r="ID2" s="462"/>
      <c r="IE2" s="462"/>
      <c r="IF2" s="462"/>
      <c r="IG2" s="462"/>
      <c r="IH2" s="462"/>
      <c r="II2" s="462"/>
      <c r="IJ2" s="462"/>
      <c r="IK2" s="462"/>
      <c r="IL2" s="462"/>
      <c r="IM2" s="462"/>
      <c r="IN2" s="462"/>
      <c r="IO2" s="462"/>
      <c r="IP2" s="462"/>
      <c r="IQ2" s="462"/>
      <c r="IR2" s="462"/>
      <c r="IS2" s="462"/>
      <c r="IT2" s="462"/>
      <c r="IU2" s="462"/>
      <c r="IV2" s="462"/>
    </row>
    <row r="3" spans="1:256" ht="18" x14ac:dyDescent="0.25">
      <c r="A3" s="464" t="s">
        <v>201</v>
      </c>
      <c r="B3" s="464"/>
      <c r="C3" s="464"/>
      <c r="D3" s="464"/>
      <c r="E3" s="464"/>
      <c r="F3" s="464"/>
      <c r="G3" s="464"/>
      <c r="H3" s="464"/>
      <c r="I3" s="464"/>
      <c r="J3" s="464"/>
      <c r="K3" s="464"/>
      <c r="L3" s="464"/>
      <c r="M3" s="464"/>
      <c r="N3" s="464"/>
      <c r="O3" s="464"/>
      <c r="P3" s="464"/>
    </row>
    <row r="4" spans="1:256" ht="15.75" x14ac:dyDescent="0.25">
      <c r="A4" s="466" t="s">
        <v>11</v>
      </c>
      <c r="B4" s="466"/>
      <c r="C4" s="466"/>
      <c r="D4" s="466"/>
      <c r="E4" s="466"/>
      <c r="F4" s="466"/>
      <c r="G4" s="466"/>
      <c r="H4" s="466"/>
      <c r="I4" s="466"/>
      <c r="J4" s="466"/>
      <c r="K4" s="466"/>
      <c r="L4" s="466"/>
      <c r="M4" s="466"/>
      <c r="N4" s="466"/>
      <c r="O4" s="466"/>
      <c r="P4" s="466"/>
    </row>
    <row r="5" spans="1:256" ht="15" x14ac:dyDescent="0.2">
      <c r="A5" s="311"/>
      <c r="B5" s="311"/>
      <c r="C5" s="311"/>
      <c r="D5" s="311"/>
      <c r="E5" s="311"/>
      <c r="F5" s="311"/>
      <c r="G5" s="311"/>
      <c r="H5" s="311"/>
      <c r="I5" s="311"/>
      <c r="J5" s="311"/>
      <c r="K5" s="311"/>
    </row>
    <row r="6" spans="1:256" x14ac:dyDescent="0.2">
      <c r="A6" s="312">
        <f ca="1">TODAY()</f>
        <v>46051</v>
      </c>
      <c r="B6" s="313" t="s">
        <v>202</v>
      </c>
      <c r="C6" s="312"/>
      <c r="D6" s="312"/>
      <c r="E6" s="312"/>
      <c r="F6" s="312"/>
      <c r="G6" s="312"/>
      <c r="H6" s="312"/>
      <c r="I6" s="312"/>
    </row>
    <row r="7" spans="1:256" ht="26.25" x14ac:dyDescent="0.4">
      <c r="A7" s="467"/>
      <c r="B7" s="467"/>
      <c r="C7" s="467"/>
      <c r="D7" s="467"/>
      <c r="E7" s="467"/>
      <c r="F7" s="467"/>
      <c r="G7" s="467"/>
      <c r="H7" s="467"/>
      <c r="I7" s="467"/>
      <c r="J7" s="467"/>
      <c r="K7" s="467"/>
      <c r="L7" s="467"/>
      <c r="M7" s="467"/>
      <c r="N7" s="467"/>
      <c r="O7" s="467"/>
      <c r="P7" s="467"/>
    </row>
    <row r="8" spans="1:256" ht="15" x14ac:dyDescent="0.2">
      <c r="A8" s="314" t="s">
        <v>5</v>
      </c>
      <c r="B8" s="315"/>
      <c r="C8" s="59">
        <f>'Customer Info'!B7</f>
        <v>0</v>
      </c>
      <c r="D8"/>
      <c r="I8" s="316"/>
    </row>
    <row r="9" spans="1:256" ht="15" x14ac:dyDescent="0.2">
      <c r="A9" s="317" t="s">
        <v>53</v>
      </c>
      <c r="B9" s="315"/>
      <c r="C9" s="59">
        <f>'Customer Info'!B8</f>
        <v>0</v>
      </c>
      <c r="D9"/>
    </row>
    <row r="10" spans="1:256" x14ac:dyDescent="0.2">
      <c r="A10" s="314" t="s">
        <v>121</v>
      </c>
      <c r="B10" s="62">
        <f>'Customer Info'!B9</f>
        <v>2</v>
      </c>
      <c r="C10" s="63" t="str">
        <f>LOOKUP(B10,R10:AD10,R11:AD11)</f>
        <v>February</v>
      </c>
      <c r="D10" s="64">
        <f>'Customer Info'!C9</f>
        <v>2026</v>
      </c>
      <c r="S10" s="48">
        <v>1</v>
      </c>
      <c r="T10" s="48">
        <v>2</v>
      </c>
      <c r="U10" s="48">
        <v>3</v>
      </c>
      <c r="V10" s="48">
        <v>4</v>
      </c>
      <c r="W10" s="48">
        <v>5</v>
      </c>
      <c r="X10" s="48">
        <v>6</v>
      </c>
      <c r="Y10" s="48">
        <v>7</v>
      </c>
      <c r="Z10" s="48">
        <v>8</v>
      </c>
      <c r="AA10" s="48">
        <v>9</v>
      </c>
      <c r="AB10" s="48">
        <v>10</v>
      </c>
      <c r="AC10" s="48">
        <v>11</v>
      </c>
      <c r="AD10" s="48">
        <v>12</v>
      </c>
    </row>
    <row r="11" spans="1:256" ht="15" customHeight="1" x14ac:dyDescent="0.2">
      <c r="A11" s="468"/>
      <c r="B11" s="468"/>
      <c r="C11" s="468"/>
      <c r="D11" s="468"/>
      <c r="E11" s="468"/>
      <c r="F11" s="468"/>
      <c r="G11" s="468"/>
      <c r="H11" s="468"/>
      <c r="I11" s="468"/>
      <c r="R11" s="48" t="s">
        <v>55</v>
      </c>
      <c r="S11" s="318" t="s">
        <v>56</v>
      </c>
      <c r="T11" s="318" t="s">
        <v>57</v>
      </c>
      <c r="U11" s="318" t="s">
        <v>58</v>
      </c>
      <c r="V11" s="318" t="s">
        <v>59</v>
      </c>
      <c r="W11" s="318" t="s">
        <v>60</v>
      </c>
      <c r="X11" s="318" t="s">
        <v>61</v>
      </c>
      <c r="Y11" s="318" t="s">
        <v>62</v>
      </c>
      <c r="Z11" s="318" t="s">
        <v>63</v>
      </c>
      <c r="AA11" s="318" t="s">
        <v>64</v>
      </c>
      <c r="AB11" s="318" t="s">
        <v>65</v>
      </c>
      <c r="AC11" s="318" t="s">
        <v>66</v>
      </c>
      <c r="AD11" s="318" t="s">
        <v>67</v>
      </c>
    </row>
    <row r="12" spans="1:256" x14ac:dyDescent="0.2">
      <c r="A12" s="319" t="s">
        <v>68</v>
      </c>
      <c r="B12" s="320"/>
      <c r="C12" s="320"/>
      <c r="D12" s="320"/>
      <c r="E12" s="320"/>
      <c r="F12" s="320"/>
      <c r="G12" s="320"/>
      <c r="H12" s="320"/>
      <c r="I12" s="320"/>
      <c r="J12" s="320"/>
      <c r="K12" s="320"/>
      <c r="L12" s="320"/>
      <c r="M12" s="320"/>
      <c r="N12" s="320"/>
      <c r="O12" s="320"/>
      <c r="P12" s="320"/>
      <c r="R12" s="48" t="s">
        <v>142</v>
      </c>
      <c r="S12" s="321">
        <v>3.1399999999999997E-2</v>
      </c>
      <c r="T12" s="321">
        <v>3.1399999999999997E-2</v>
      </c>
      <c r="U12" s="321">
        <v>3.1399999999999997E-2</v>
      </c>
      <c r="V12" s="321">
        <v>3.1399999999999997E-2</v>
      </c>
      <c r="W12" s="321">
        <v>3.1399999999999997E-2</v>
      </c>
      <c r="X12" s="321">
        <v>3.1399999999999997E-2</v>
      </c>
      <c r="Y12" s="321">
        <v>3.1399999999999997E-2</v>
      </c>
      <c r="Z12" s="321">
        <v>3.1399999999999997E-2</v>
      </c>
      <c r="AA12" s="321">
        <v>3.1399999999999997E-2</v>
      </c>
      <c r="AB12" s="321">
        <v>3.1399999999999997E-2</v>
      </c>
      <c r="AC12" s="321">
        <v>3.1399999999999997E-2</v>
      </c>
      <c r="AD12" s="321">
        <v>3.1399999999999997E-2</v>
      </c>
    </row>
    <row r="13" spans="1:256" x14ac:dyDescent="0.2">
      <c r="C13" s="318" t="s">
        <v>181</v>
      </c>
      <c r="D13" s="318" t="s">
        <v>182</v>
      </c>
    </row>
    <row r="14" spans="1:256" x14ac:dyDescent="0.2">
      <c r="A14" s="322" t="s">
        <v>183</v>
      </c>
      <c r="B14" s="322"/>
      <c r="C14" s="206">
        <f>'Customer Info'!B19</f>
        <v>0</v>
      </c>
      <c r="D14" s="206">
        <f>ROUND(C14*C20,1)</f>
        <v>0</v>
      </c>
      <c r="E14" s="322" t="s">
        <v>13</v>
      </c>
      <c r="F14" s="323"/>
      <c r="G14" s="322" t="s">
        <v>2</v>
      </c>
      <c r="I14" s="207" t="s">
        <v>2</v>
      </c>
      <c r="J14" s="322"/>
      <c r="K14" s="322"/>
      <c r="L14" s="322"/>
      <c r="M14" s="322"/>
      <c r="N14" s="322"/>
    </row>
    <row r="15" spans="1:256" x14ac:dyDescent="0.2">
      <c r="A15" s="322" t="s">
        <v>184</v>
      </c>
      <c r="B15" s="322"/>
      <c r="C15" s="206">
        <f>'Customer Info'!B20</f>
        <v>0</v>
      </c>
      <c r="D15" s="206">
        <f>C15*C20</f>
        <v>0</v>
      </c>
      <c r="E15" s="322" t="s">
        <v>13</v>
      </c>
      <c r="F15" s="323"/>
      <c r="G15" s="322" t="s">
        <v>185</v>
      </c>
      <c r="I15" s="324" t="str">
        <f>IF(MAX(C14,C15)&gt;0,C16/(MAX(C14,C15)*730), " ")</f>
        <v xml:space="preserve"> </v>
      </c>
      <c r="J15" s="322"/>
      <c r="K15" s="322"/>
      <c r="L15" s="322"/>
      <c r="M15" s="322"/>
      <c r="N15" s="322"/>
      <c r="X15" s="321"/>
      <c r="Y15" s="321"/>
      <c r="Z15" s="321"/>
      <c r="AA15" s="321"/>
    </row>
    <row r="16" spans="1:256" x14ac:dyDescent="0.2">
      <c r="A16" s="322" t="s">
        <v>134</v>
      </c>
      <c r="B16" s="322"/>
      <c r="C16" s="159">
        <f>IF('Customer Info'!B22+'Customer Info'!B23-'Customer Info'!B24&lt;0,0,'Customer Info'!B22+'Customer Info'!B23-'Customer Info'!B24)</f>
        <v>0</v>
      </c>
      <c r="D16" s="159">
        <f>C16*C20</f>
        <v>0</v>
      </c>
      <c r="E16" s="322" t="s">
        <v>19</v>
      </c>
      <c r="F16" s="323"/>
      <c r="G16" s="322"/>
      <c r="H16" s="322"/>
      <c r="I16" s="322"/>
      <c r="J16" s="322"/>
      <c r="K16" s="322"/>
      <c r="L16" s="322"/>
      <c r="M16" s="322"/>
      <c r="N16" s="322"/>
      <c r="O16" s="322"/>
    </row>
    <row r="17" spans="1:30" x14ac:dyDescent="0.2">
      <c r="A17" s="322" t="s">
        <v>203</v>
      </c>
      <c r="B17" s="322"/>
      <c r="C17" s="159">
        <f>'Customer Info'!$B$28</f>
        <v>0</v>
      </c>
      <c r="D17" s="159">
        <f>$C$17*$C$20</f>
        <v>0</v>
      </c>
      <c r="E17" s="322" t="s">
        <v>204</v>
      </c>
      <c r="F17" s="323"/>
      <c r="K17" s="322"/>
      <c r="L17" s="322"/>
      <c r="M17" s="322"/>
      <c r="N17" s="322"/>
    </row>
    <row r="18" spans="1:30" x14ac:dyDescent="0.2">
      <c r="A18" s="322" t="s">
        <v>205</v>
      </c>
      <c r="B18" s="322"/>
      <c r="C18" s="325">
        <f>IF('Customer Info'!$B$19=0,0,ROUND(MAX(ROUND('Customer Info'!$B$19*'GS PRI'!C20,1),ROUND('Customer Info'!$B$20*'GS PRI'!C20,1))/'Customer Info'!$D$30,1))</f>
        <v>0</v>
      </c>
      <c r="D18" s="206">
        <f>$C$18</f>
        <v>0</v>
      </c>
      <c r="E18" s="322" t="s">
        <v>206</v>
      </c>
      <c r="F18" s="323"/>
      <c r="K18" s="322"/>
      <c r="L18" s="322"/>
      <c r="M18" s="322"/>
      <c r="N18" s="322"/>
    </row>
    <row r="19" spans="1:30" x14ac:dyDescent="0.2">
      <c r="A19" s="322" t="s">
        <v>207</v>
      </c>
      <c r="B19" s="322"/>
      <c r="C19" s="159"/>
      <c r="D19" s="325">
        <f>MAX(100,ROUND(1.15*(MAX('Customer Info'!$B$19*'GS PRI'!C20,'Customer Info'!$B$20*'GS PRI'!C20)),1))</f>
        <v>100</v>
      </c>
      <c r="E19" s="322" t="s">
        <v>206</v>
      </c>
      <c r="F19" s="323"/>
      <c r="K19" s="322"/>
      <c r="L19" s="322"/>
      <c r="M19" s="322"/>
      <c r="N19" s="322"/>
    </row>
    <row r="20" spans="1:30" x14ac:dyDescent="0.2">
      <c r="A20" s="322" t="s">
        <v>186</v>
      </c>
      <c r="B20" s="322"/>
      <c r="C20" s="209">
        <f>+'Customer Info'!E19</f>
        <v>1</v>
      </c>
      <c r="D20" s="158"/>
      <c r="E20" s="322"/>
      <c r="F20" s="323"/>
      <c r="G20" s="314"/>
      <c r="H20" s="314"/>
      <c r="I20" s="314"/>
      <c r="J20" s="314"/>
      <c r="K20" s="322"/>
      <c r="L20" s="322"/>
      <c r="M20" s="322"/>
      <c r="N20" s="322"/>
      <c r="S20" s="321"/>
      <c r="T20" s="321"/>
      <c r="U20" s="321"/>
      <c r="V20" s="321"/>
      <c r="W20" s="321"/>
      <c r="X20" s="321"/>
      <c r="Y20" s="321"/>
      <c r="Z20" s="321"/>
      <c r="AA20" s="321"/>
      <c r="AB20" s="321"/>
      <c r="AC20" s="321"/>
      <c r="AD20" s="321"/>
    </row>
    <row r="21" spans="1:30" x14ac:dyDescent="0.2">
      <c r="A21" s="322" t="s">
        <v>2</v>
      </c>
      <c r="B21" s="322"/>
      <c r="C21" s="210" t="s">
        <v>2</v>
      </c>
      <c r="D21" s="469" t="s">
        <v>2</v>
      </c>
      <c r="E21" s="469"/>
      <c r="F21" s="469"/>
      <c r="G21" s="469"/>
      <c r="H21" s="469"/>
      <c r="K21" s="322"/>
      <c r="L21" s="322"/>
      <c r="M21" s="322"/>
      <c r="N21" s="322"/>
      <c r="O21" s="188"/>
    </row>
    <row r="22" spans="1:30" x14ac:dyDescent="0.2">
      <c r="A22" s="322" t="s">
        <v>2</v>
      </c>
      <c r="B22" s="322"/>
      <c r="C22" s="210" t="s">
        <v>2</v>
      </c>
      <c r="D22" s="469" t="s">
        <v>2</v>
      </c>
      <c r="E22" s="469"/>
      <c r="F22" s="469"/>
      <c r="G22" s="469"/>
      <c r="H22" s="469"/>
      <c r="I22" s="314"/>
      <c r="J22" s="314"/>
      <c r="K22" s="322"/>
      <c r="L22" s="322"/>
      <c r="M22" s="322"/>
      <c r="N22" s="322"/>
      <c r="O22" s="188"/>
    </row>
    <row r="23" spans="1:30" x14ac:dyDescent="0.2">
      <c r="A23" s="322"/>
      <c r="B23" s="322"/>
      <c r="C23" s="323"/>
      <c r="D23" s="323"/>
      <c r="E23" s="323"/>
      <c r="F23" s="323"/>
      <c r="G23" s="314"/>
      <c r="H23" s="314"/>
      <c r="I23" s="314"/>
      <c r="J23" s="314"/>
      <c r="K23" s="322"/>
      <c r="L23" s="322"/>
      <c r="M23" s="322"/>
      <c r="N23" s="322"/>
      <c r="O23" s="322"/>
    </row>
    <row r="24" spans="1:30" x14ac:dyDescent="0.2">
      <c r="A24" s="319" t="s">
        <v>70</v>
      </c>
      <c r="B24" s="320"/>
      <c r="C24" s="320"/>
      <c r="D24" s="320"/>
      <c r="E24" s="320"/>
      <c r="F24" s="320"/>
      <c r="G24" s="470" t="s">
        <v>71</v>
      </c>
      <c r="H24" s="471"/>
      <c r="I24" s="471"/>
      <c r="J24" s="472"/>
      <c r="K24" s="320"/>
      <c r="L24" s="473" t="s">
        <v>72</v>
      </c>
      <c r="M24" s="473"/>
      <c r="N24" s="473"/>
      <c r="O24" s="473"/>
    </row>
    <row r="25" spans="1:30" x14ac:dyDescent="0.2">
      <c r="G25" s="326" t="s">
        <v>73</v>
      </c>
      <c r="H25" s="326" t="s">
        <v>74</v>
      </c>
      <c r="I25" s="326" t="s">
        <v>75</v>
      </c>
      <c r="J25" s="327" t="s">
        <v>76</v>
      </c>
      <c r="L25" s="328" t="s">
        <v>73</v>
      </c>
      <c r="M25" s="328" t="s">
        <v>74</v>
      </c>
      <c r="N25" s="328" t="s">
        <v>75</v>
      </c>
      <c r="O25" s="328" t="s">
        <v>76</v>
      </c>
      <c r="P25" s="329" t="s">
        <v>77</v>
      </c>
    </row>
    <row r="26" spans="1:30" x14ac:dyDescent="0.2">
      <c r="A26" s="48" t="s">
        <v>78</v>
      </c>
      <c r="G26" s="189"/>
      <c r="H26" s="189"/>
      <c r="I26" s="189">
        <v>9.4</v>
      </c>
      <c r="J26" s="189">
        <f>SUM(G26:I26)</f>
        <v>9.4</v>
      </c>
      <c r="L26" s="330"/>
      <c r="M26" s="330"/>
      <c r="N26" s="330">
        <f>I26</f>
        <v>9.4</v>
      </c>
      <c r="O26" s="128">
        <f>SUM(L26:N26)</f>
        <v>9.4</v>
      </c>
      <c r="P26" s="331">
        <v>44531</v>
      </c>
    </row>
    <row r="27" spans="1:30" x14ac:dyDescent="0.2">
      <c r="A27" s="48" t="s">
        <v>165</v>
      </c>
      <c r="D27" s="332">
        <f>D16</f>
        <v>0</v>
      </c>
      <c r="E27" s="333" t="s">
        <v>19</v>
      </c>
      <c r="F27" s="334" t="s">
        <v>80</v>
      </c>
      <c r="G27" s="191"/>
      <c r="H27" s="189"/>
      <c r="I27" s="189"/>
      <c r="J27" s="191"/>
      <c r="K27" s="335" t="s">
        <v>85</v>
      </c>
      <c r="L27" s="189"/>
      <c r="M27" s="330"/>
      <c r="N27" s="189"/>
      <c r="O27" s="128"/>
      <c r="P27" s="331"/>
    </row>
    <row r="28" spans="1:30" x14ac:dyDescent="0.2">
      <c r="A28" s="48" t="s">
        <v>208</v>
      </c>
      <c r="D28" s="336">
        <f>ROUND(MAX(D14,D15,('Customer Info'!B15-100)*0.6,('Customer Info'!B17-100)*0.6),1)</f>
        <v>0</v>
      </c>
      <c r="E28" s="322" t="s">
        <v>13</v>
      </c>
      <c r="F28" s="329" t="s">
        <v>80</v>
      </c>
      <c r="G28" s="337"/>
      <c r="H28" s="337"/>
      <c r="I28" s="337">
        <v>7.01</v>
      </c>
      <c r="J28" s="337">
        <f>SUM(G28:I28)</f>
        <v>7.01</v>
      </c>
      <c r="K28" s="46" t="s">
        <v>162</v>
      </c>
      <c r="L28" s="189"/>
      <c r="M28" s="189"/>
      <c r="N28" s="189">
        <f>ROUND($D28*I28,2)</f>
        <v>0</v>
      </c>
      <c r="O28" s="128">
        <f>SUM(L28:N28)</f>
        <v>0</v>
      </c>
      <c r="P28" s="331">
        <v>44531</v>
      </c>
    </row>
    <row r="29" spans="1:30" x14ac:dyDescent="0.2">
      <c r="A29" s="48" t="s">
        <v>209</v>
      </c>
      <c r="D29" s="336">
        <f>IF(D18&lt;=100,0,ROUND(IF(D18-D19&gt;0,D18-D19),1))</f>
        <v>0</v>
      </c>
      <c r="E29" s="322" t="s">
        <v>210</v>
      </c>
      <c r="F29" s="329" t="s">
        <v>80</v>
      </c>
      <c r="G29" s="338"/>
      <c r="H29" s="337"/>
      <c r="I29" s="337">
        <v>1.25</v>
      </c>
      <c r="J29" s="338">
        <f>SUM(G29:I29)</f>
        <v>1.25</v>
      </c>
      <c r="K29" s="46" t="s">
        <v>162</v>
      </c>
      <c r="L29" s="189"/>
      <c r="M29" s="189"/>
      <c r="N29" s="189">
        <f>ROUND($D29*I29,2)</f>
        <v>0</v>
      </c>
      <c r="O29" s="189">
        <f>SUM(L29:N29)</f>
        <v>0</v>
      </c>
      <c r="P29" s="331">
        <v>44531</v>
      </c>
    </row>
    <row r="30" spans="1:30" x14ac:dyDescent="0.2">
      <c r="A30" s="339" t="s">
        <v>82</v>
      </c>
      <c r="B30" s="339"/>
      <c r="C30" s="339"/>
      <c r="D30" s="340"/>
      <c r="E30" s="340"/>
      <c r="F30" s="339"/>
      <c r="G30" s="339"/>
      <c r="H30" s="339"/>
      <c r="I30" s="339"/>
      <c r="J30" s="339"/>
      <c r="K30" s="341"/>
      <c r="L30" s="171"/>
      <c r="M30" s="171"/>
      <c r="N30" s="171">
        <f>SUM(N26:N29)</f>
        <v>9.4</v>
      </c>
      <c r="O30" s="171">
        <f>SUM(O26:O29)</f>
        <v>9.4</v>
      </c>
    </row>
    <row r="31" spans="1:30" x14ac:dyDescent="0.2">
      <c r="A31" s="342"/>
      <c r="B31" s="342"/>
      <c r="C31" s="343"/>
      <c r="D31" s="343"/>
      <c r="E31" s="343"/>
      <c r="F31" s="343"/>
      <c r="G31" s="344"/>
      <c r="H31" s="344"/>
      <c r="I31" s="344"/>
      <c r="J31" s="344"/>
      <c r="K31" s="342"/>
      <c r="L31" s="342"/>
      <c r="M31" s="342"/>
      <c r="N31" s="342"/>
      <c r="O31" s="342"/>
      <c r="P31" s="342"/>
    </row>
    <row r="32" spans="1:30" x14ac:dyDescent="0.2">
      <c r="A32" s="345" t="s">
        <v>83</v>
      </c>
      <c r="D32" s="332"/>
      <c r="E32" s="332"/>
      <c r="K32" s="46"/>
      <c r="L32" s="46"/>
      <c r="M32" s="46"/>
      <c r="N32" s="46"/>
      <c r="O32" s="213"/>
      <c r="P32" s="213"/>
    </row>
    <row r="33" spans="1:220" x14ac:dyDescent="0.2">
      <c r="A33" s="339"/>
      <c r="D33" s="332"/>
      <c r="E33" s="332"/>
      <c r="K33" s="46"/>
      <c r="L33" s="46"/>
      <c r="M33" s="46"/>
      <c r="N33" s="46"/>
      <c r="O33" s="213"/>
    </row>
    <row r="34" spans="1:220" x14ac:dyDescent="0.2">
      <c r="A34" s="313" t="s">
        <v>84</v>
      </c>
      <c r="D34" s="4">
        <f>IF($C$16&lt;0,0,IF($C$16&gt;833000,833000,$C$16))</f>
        <v>0</v>
      </c>
      <c r="E34" s="346" t="s">
        <v>19</v>
      </c>
      <c r="F34" s="329" t="s">
        <v>80</v>
      </c>
      <c r="G34" s="167"/>
      <c r="H34" s="191"/>
      <c r="I34" s="100">
        <f>'Rider Rates'!$B$4</f>
        <v>5.5215000000000004E-3</v>
      </c>
      <c r="J34" s="214">
        <f>SUM(G34:I34)</f>
        <v>5.5215000000000004E-3</v>
      </c>
      <c r="K34" s="46" t="s">
        <v>85</v>
      </c>
      <c r="L34" s="189"/>
      <c r="M34" s="189"/>
      <c r="N34" s="189">
        <f>ROUND($D34*I34,2)</f>
        <v>0</v>
      </c>
      <c r="O34" s="189">
        <f t="shared" ref="O34:O50" si="0">SUM(L34:N34)</f>
        <v>0</v>
      </c>
      <c r="P34" s="92">
        <f>'Rider Rates'!$D$4</f>
        <v>46022</v>
      </c>
    </row>
    <row r="35" spans="1:220" x14ac:dyDescent="0.2">
      <c r="A35" s="313" t="s">
        <v>86</v>
      </c>
      <c r="D35" s="4">
        <f>IF($C$16-833000&gt;0,$C$16-D34,0)</f>
        <v>0</v>
      </c>
      <c r="E35" s="346" t="s">
        <v>19</v>
      </c>
      <c r="F35" s="329" t="s">
        <v>80</v>
      </c>
      <c r="G35" s="167"/>
      <c r="H35" s="191"/>
      <c r="I35" s="100">
        <f>'Rider Rates'!$B$5</f>
        <v>1.7560000000000001E-4</v>
      </c>
      <c r="J35" s="215">
        <f>SUM(G35:I35)</f>
        <v>1.7560000000000001E-4</v>
      </c>
      <c r="K35" s="46" t="s">
        <v>85</v>
      </c>
      <c r="L35" s="189"/>
      <c r="M35" s="189"/>
      <c r="N35" s="189">
        <f>ROUND($D35*I35,2)</f>
        <v>0</v>
      </c>
      <c r="O35" s="189">
        <f t="shared" si="0"/>
        <v>0</v>
      </c>
      <c r="P35" s="92">
        <f>'Rider Rates'!$D$4</f>
        <v>46022</v>
      </c>
    </row>
    <row r="36" spans="1:220" x14ac:dyDescent="0.2">
      <c r="A36" s="313" t="s">
        <v>187</v>
      </c>
      <c r="B36" s="48" t="s">
        <v>2</v>
      </c>
      <c r="D36" s="4">
        <f>IF('Customer Info'!$C$33=TRUE,0,IF(C16&lt;0,0,IF(C16&gt;2000,2000,C16)))</f>
        <v>0</v>
      </c>
      <c r="E36" s="346" t="s">
        <v>19</v>
      </c>
      <c r="F36" s="329" t="s">
        <v>80</v>
      </c>
      <c r="G36" s="167"/>
      <c r="H36" s="191"/>
      <c r="I36" s="112">
        <f>'Rider Rates'!$B$8</f>
        <v>4.6499999999999996E-3</v>
      </c>
      <c r="J36" s="216">
        <f>SUM(G36:I36)</f>
        <v>4.6499999999999996E-3</v>
      </c>
      <c r="K36" s="46" t="s">
        <v>85</v>
      </c>
      <c r="L36" s="189"/>
      <c r="M36" s="189"/>
      <c r="N36" s="189">
        <f>ROUND($D36*I36,2)</f>
        <v>0</v>
      </c>
      <c r="O36" s="189">
        <f t="shared" si="0"/>
        <v>0</v>
      </c>
      <c r="P36" s="92">
        <f>'Rider Rates'!$D$7</f>
        <v>44531</v>
      </c>
    </row>
    <row r="37" spans="1:220" x14ac:dyDescent="0.2">
      <c r="A37" s="313" t="s">
        <v>188</v>
      </c>
      <c r="B37" s="48" t="s">
        <v>2</v>
      </c>
      <c r="D37" s="4">
        <f>IF('Customer Info'!$C$33=TRUE,0,IF(C16&gt;15000,13000,IF(C16&gt;2000,C16-2000,0)))</f>
        <v>0</v>
      </c>
      <c r="E37" s="346" t="s">
        <v>19</v>
      </c>
      <c r="F37" s="329" t="s">
        <v>80</v>
      </c>
      <c r="G37" s="167"/>
      <c r="H37" s="191"/>
      <c r="I37" s="112">
        <f>'Rider Rates'!$B$9</f>
        <v>4.1900000000000001E-3</v>
      </c>
      <c r="J37" s="216">
        <f>SUM(G37:I37)</f>
        <v>4.1900000000000001E-3</v>
      </c>
      <c r="K37" s="46" t="s">
        <v>85</v>
      </c>
      <c r="L37" s="189"/>
      <c r="M37" s="189"/>
      <c r="N37" s="189">
        <f>ROUND($D37*I37,2)</f>
        <v>0</v>
      </c>
      <c r="O37" s="189">
        <f t="shared" si="0"/>
        <v>0</v>
      </c>
      <c r="P37" s="92">
        <f>'Rider Rates'!$D$7</f>
        <v>44531</v>
      </c>
    </row>
    <row r="38" spans="1:220" x14ac:dyDescent="0.2">
      <c r="A38" s="313" t="s">
        <v>189</v>
      </c>
      <c r="B38" s="48" t="s">
        <v>2</v>
      </c>
      <c r="D38" s="4">
        <f>IF('Customer Info'!$C$33=TRUE,0,IF(C16-D36-D37&gt;0,C16-D36-D37,0))</f>
        <v>0</v>
      </c>
      <c r="E38" s="346" t="s">
        <v>19</v>
      </c>
      <c r="F38" s="329" t="s">
        <v>80</v>
      </c>
      <c r="G38" s="167"/>
      <c r="H38" s="191"/>
      <c r="I38" s="112">
        <f>'Rider Rates'!$B$10</f>
        <v>3.63E-3</v>
      </c>
      <c r="J38" s="216">
        <f>SUM(G38:I38)</f>
        <v>3.63E-3</v>
      </c>
      <c r="K38" s="46" t="s">
        <v>85</v>
      </c>
      <c r="L38" s="189"/>
      <c r="M38" s="189"/>
      <c r="N38" s="189">
        <f>ROUND($D38*I38,2)</f>
        <v>0</v>
      </c>
      <c r="O38" s="189">
        <f t="shared" si="0"/>
        <v>0</v>
      </c>
      <c r="P38" s="92">
        <f>'Rider Rates'!$D$7</f>
        <v>44531</v>
      </c>
    </row>
    <row r="39" spans="1:220" x14ac:dyDescent="0.2">
      <c r="A39" s="313" t="s">
        <v>91</v>
      </c>
      <c r="B39" s="313"/>
      <c r="C39" s="313"/>
      <c r="D39" s="217">
        <f>$N$30</f>
        <v>9.4</v>
      </c>
      <c r="E39" s="333" t="s">
        <v>92</v>
      </c>
      <c r="F39" s="334" t="s">
        <v>80</v>
      </c>
      <c r="G39" s="100"/>
      <c r="H39" s="100"/>
      <c r="I39" s="114">
        <f>'Rider Rates'!$B$18+'Rider Rates'!$E$18</f>
        <v>0</v>
      </c>
      <c r="J39" s="347">
        <f>SUM(H39:I39)</f>
        <v>0</v>
      </c>
      <c r="K39" s="335"/>
      <c r="L39" s="89"/>
      <c r="M39" s="89"/>
      <c r="N39" s="89">
        <v>0</v>
      </c>
      <c r="O39" s="89">
        <f t="shared" si="0"/>
        <v>0</v>
      </c>
      <c r="P39" s="92">
        <f>MAX('Rider Rates'!$D$18,'Rider Rates'!$F$18)</f>
        <v>44531</v>
      </c>
    </row>
    <row r="40" spans="1:220" x14ac:dyDescent="0.2">
      <c r="A40" s="313" t="s">
        <v>93</v>
      </c>
      <c r="B40" s="313"/>
      <c r="C40" s="313"/>
      <c r="D40" s="111">
        <f>'Customer Info'!$B$22+'Customer Info'!$B$23-'Customer Info'!$B$24</f>
        <v>0</v>
      </c>
      <c r="E40" s="333" t="s">
        <v>19</v>
      </c>
      <c r="F40" s="334" t="s">
        <v>80</v>
      </c>
      <c r="G40" s="100">
        <f>'Rider Rates'!B23</f>
        <v>7.6880000000000004E-2</v>
      </c>
      <c r="H40" s="100"/>
      <c r="I40" s="100"/>
      <c r="J40" s="348">
        <f>SUM(G40:H40)</f>
        <v>7.6880000000000004E-2</v>
      </c>
      <c r="K40" s="335" t="s">
        <v>85</v>
      </c>
      <c r="L40" s="89">
        <f>ROUND(D40*G40,2)</f>
        <v>0</v>
      </c>
      <c r="M40" s="89"/>
      <c r="N40" s="89"/>
      <c r="O40" s="89">
        <f t="shared" si="0"/>
        <v>0</v>
      </c>
      <c r="P40" s="92">
        <f>'Rider Rates'!$D$23</f>
        <v>45809</v>
      </c>
    </row>
    <row r="41" spans="1:220" x14ac:dyDescent="0.2">
      <c r="A41" s="313" t="s">
        <v>94</v>
      </c>
      <c r="B41" s="313"/>
      <c r="C41" s="313"/>
      <c r="D41" s="111">
        <f>'Customer Info'!$B$22+'Customer Info'!$B$23-'Customer Info'!$B$24</f>
        <v>0</v>
      </c>
      <c r="E41" s="333" t="s">
        <v>19</v>
      </c>
      <c r="F41" s="334" t="s">
        <v>80</v>
      </c>
      <c r="G41" s="100">
        <f>'Rider Rates'!B37</f>
        <v>1.8180000000000002E-2</v>
      </c>
      <c r="H41" s="100"/>
      <c r="I41" s="100"/>
      <c r="J41" s="348">
        <f>SUM(G41:H41)</f>
        <v>1.8180000000000002E-2</v>
      </c>
      <c r="K41" s="335" t="s">
        <v>85</v>
      </c>
      <c r="L41" s="89">
        <f>ROUND(D41*G41,2)</f>
        <v>0</v>
      </c>
      <c r="M41" s="89"/>
      <c r="N41" s="89"/>
      <c r="O41" s="89">
        <f t="shared" si="0"/>
        <v>0</v>
      </c>
      <c r="P41" s="92">
        <f>'Rider Rates'!$D$42</f>
        <v>45809</v>
      </c>
    </row>
    <row r="42" spans="1:220" x14ac:dyDescent="0.2">
      <c r="A42" s="313" t="s">
        <v>95</v>
      </c>
      <c r="B42" s="313"/>
      <c r="C42" s="313"/>
      <c r="D42" s="111">
        <f>'Customer Info'!$B$22+'Customer Info'!$B$23-'Customer Info'!$B$24</f>
        <v>0</v>
      </c>
      <c r="E42" s="333" t="s">
        <v>19</v>
      </c>
      <c r="F42" s="334" t="s">
        <v>80</v>
      </c>
      <c r="G42" s="100">
        <f>'Rider Rates'!$B$49</f>
        <v>2.7588999999999999E-3</v>
      </c>
      <c r="H42" s="100"/>
      <c r="I42" s="100"/>
      <c r="J42" s="348">
        <f>SUM(G42:H42)</f>
        <v>2.7588999999999999E-3</v>
      </c>
      <c r="K42" s="335" t="s">
        <v>85</v>
      </c>
      <c r="L42" s="89">
        <f>ROUND(D42*G42,2)</f>
        <v>0</v>
      </c>
      <c r="M42" s="89"/>
      <c r="N42" s="89"/>
      <c r="O42" s="89">
        <f t="shared" si="0"/>
        <v>0</v>
      </c>
      <c r="P42" s="92">
        <f>'Rider Rates'!$D$49</f>
        <v>46022</v>
      </c>
    </row>
    <row r="43" spans="1:220" x14ac:dyDescent="0.2">
      <c r="A43" s="313" t="s">
        <v>96</v>
      </c>
      <c r="B43" s="313"/>
      <c r="C43" s="313"/>
      <c r="D43" s="4">
        <f>IF($C$16&lt;0,0,IF($C$16&gt;833000,833000,$C$16))</f>
        <v>0</v>
      </c>
      <c r="E43" s="333" t="s">
        <v>19</v>
      </c>
      <c r="F43" s="334" t="s">
        <v>80</v>
      </c>
      <c r="G43" s="100"/>
      <c r="H43" s="100"/>
      <c r="I43" s="100">
        <f>'Rider Rates'!D53</f>
        <v>0</v>
      </c>
      <c r="J43" s="100">
        <f>SUM(G43:I43)</f>
        <v>0</v>
      </c>
      <c r="K43" s="335" t="s">
        <v>85</v>
      </c>
      <c r="L43" s="89"/>
      <c r="M43" s="89"/>
      <c r="N43" s="189">
        <f>D43*J43</f>
        <v>0</v>
      </c>
      <c r="O43" s="89">
        <f t="shared" si="0"/>
        <v>0</v>
      </c>
      <c r="P43" s="92">
        <f>'Rider Rates'!E53</f>
        <v>45883</v>
      </c>
    </row>
    <row r="44" spans="1:220" x14ac:dyDescent="0.2">
      <c r="A44" s="313" t="s">
        <v>97</v>
      </c>
      <c r="B44" s="313"/>
      <c r="C44" s="313"/>
      <c r="D44" s="4">
        <f>IF($C$16&lt;0,0,$C$16)</f>
        <v>0</v>
      </c>
      <c r="E44" s="333" t="s">
        <v>19</v>
      </c>
      <c r="F44" s="334" t="s">
        <v>80</v>
      </c>
      <c r="G44" s="100"/>
      <c r="H44" s="100">
        <f>'Rider Rates'!$B$59</f>
        <v>4.3439999999999999E-4</v>
      </c>
      <c r="I44" s="100"/>
      <c r="J44" s="100">
        <f>SUM(G44:I44)</f>
        <v>4.3439999999999999E-4</v>
      </c>
      <c r="K44" s="335" t="s">
        <v>85</v>
      </c>
      <c r="L44" s="89"/>
      <c r="M44" s="89">
        <f>ROUND(D44*H44,2)</f>
        <v>0</v>
      </c>
      <c r="N44" s="116"/>
      <c r="O44" s="89">
        <f t="shared" si="0"/>
        <v>0</v>
      </c>
      <c r="P44" s="92">
        <f>'Rider Rates'!$D$59</f>
        <v>45929</v>
      </c>
    </row>
    <row r="45" spans="1:220" x14ac:dyDescent="0.2">
      <c r="A45" s="313" t="s">
        <v>97</v>
      </c>
      <c r="B45" s="313"/>
      <c r="C45" s="313"/>
      <c r="D45" s="349">
        <f>ROUND(MAX(D14,('Customer Info'!B15-100)*0.6,('Customer Info'!B17-100)*0.6),1)</f>
        <v>0</v>
      </c>
      <c r="E45" s="346" t="s">
        <v>211</v>
      </c>
      <c r="F45" s="329" t="s">
        <v>80</v>
      </c>
      <c r="G45" s="100"/>
      <c r="H45" s="90">
        <f>'Rider Rates'!$B$64</f>
        <v>7.49</v>
      </c>
      <c r="I45" s="100"/>
      <c r="J45" s="90">
        <f>SUM(G45:I45)</f>
        <v>7.49</v>
      </c>
      <c r="K45" s="335" t="s">
        <v>162</v>
      </c>
      <c r="L45" s="89"/>
      <c r="M45" s="89">
        <f>ROUND(D45*H45,2)</f>
        <v>0</v>
      </c>
      <c r="N45" s="116"/>
      <c r="O45" s="89">
        <f t="shared" si="0"/>
        <v>0</v>
      </c>
      <c r="P45" s="92">
        <f>'Rider Rates'!$D$64</f>
        <v>45929</v>
      </c>
    </row>
    <row r="46" spans="1:220" x14ac:dyDescent="0.2">
      <c r="A46" s="313" t="s">
        <v>190</v>
      </c>
      <c r="B46" s="313"/>
      <c r="C46" s="313"/>
      <c r="D46" s="4">
        <f>IF('Customer Info'!C35=TRUE,0,IF($C$16&lt;0,0,$C$16))</f>
        <v>0</v>
      </c>
      <c r="E46" s="333" t="s">
        <v>19</v>
      </c>
      <c r="F46" s="334" t="s">
        <v>80</v>
      </c>
      <c r="G46" s="100"/>
      <c r="H46" s="100"/>
      <c r="I46" s="100">
        <f>'Rider Rates'!$B$73+'Rider Rates'!$C$73</f>
        <v>0</v>
      </c>
      <c r="J46" s="100">
        <f>SUM(G46:I46)</f>
        <v>0</v>
      </c>
      <c r="K46" s="335" t="s">
        <v>85</v>
      </c>
      <c r="L46" s="89"/>
      <c r="M46" s="89"/>
      <c r="N46" s="189">
        <v>0</v>
      </c>
      <c r="O46" s="128">
        <f t="shared" si="0"/>
        <v>0</v>
      </c>
      <c r="P46" s="92">
        <f>'Rider Rates'!$D$73</f>
        <v>44531</v>
      </c>
      <c r="Q46" s="101"/>
      <c r="R46" s="335"/>
      <c r="S46" s="95"/>
      <c r="T46" s="313"/>
      <c r="U46" s="96"/>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313"/>
      <c r="CQ46" s="313"/>
      <c r="CR46" s="313"/>
      <c r="CS46" s="313"/>
      <c r="CT46" s="313"/>
      <c r="CU46" s="313"/>
      <c r="CV46" s="313"/>
      <c r="CW46" s="313"/>
      <c r="CX46" s="313"/>
      <c r="CY46" s="313"/>
      <c r="CZ46" s="313"/>
      <c r="DA46" s="313"/>
      <c r="DB46" s="313"/>
      <c r="DC46" s="313"/>
      <c r="DD46" s="313"/>
      <c r="DE46" s="313"/>
      <c r="DF46" s="313"/>
      <c r="DG46" s="313"/>
      <c r="DH46" s="313"/>
      <c r="DI46" s="313"/>
      <c r="DJ46" s="313"/>
      <c r="DK46" s="313"/>
      <c r="DL46" s="313"/>
      <c r="DM46" s="313"/>
      <c r="DN46" s="313"/>
      <c r="DO46" s="313"/>
      <c r="DP46" s="313"/>
      <c r="DQ46" s="313"/>
      <c r="DR46" s="313"/>
      <c r="DS46" s="313"/>
      <c r="DT46" s="313"/>
      <c r="DU46" s="313"/>
      <c r="DV46" s="313"/>
      <c r="DW46" s="313"/>
      <c r="DX46" s="313"/>
      <c r="DY46" s="313"/>
      <c r="DZ46" s="313"/>
      <c r="EA46" s="313"/>
      <c r="EB46" s="313"/>
      <c r="EC46" s="313"/>
      <c r="ED46" s="313"/>
      <c r="EE46" s="313"/>
      <c r="EF46" s="313"/>
      <c r="EG46" s="313"/>
      <c r="EH46" s="313"/>
      <c r="EI46" s="313"/>
      <c r="EJ46" s="313"/>
      <c r="EK46" s="313"/>
      <c r="EL46" s="313"/>
      <c r="EM46" s="313"/>
      <c r="EN46" s="313"/>
      <c r="EO46" s="313"/>
      <c r="EP46" s="313"/>
      <c r="EQ46" s="313"/>
      <c r="ER46" s="313"/>
      <c r="ES46" s="313"/>
      <c r="ET46" s="313"/>
      <c r="EU46" s="313"/>
      <c r="EV46" s="313"/>
      <c r="EW46" s="313"/>
      <c r="EX46" s="313"/>
      <c r="EY46" s="313"/>
      <c r="EZ46" s="313"/>
      <c r="FA46" s="313"/>
      <c r="FB46" s="313"/>
      <c r="FC46" s="313"/>
      <c r="FD46" s="313"/>
      <c r="FE46" s="313"/>
      <c r="FF46" s="313"/>
      <c r="FG46" s="313"/>
      <c r="FH46" s="313"/>
      <c r="FI46" s="313"/>
      <c r="FJ46" s="313"/>
      <c r="FK46" s="313"/>
      <c r="FL46" s="313"/>
      <c r="FM46" s="313"/>
      <c r="FN46" s="313"/>
      <c r="FO46" s="313"/>
      <c r="FP46" s="313"/>
      <c r="FQ46" s="313"/>
      <c r="FR46" s="313"/>
      <c r="FS46" s="313"/>
      <c r="FT46" s="313"/>
      <c r="FU46" s="313"/>
      <c r="FV46" s="313"/>
      <c r="FW46" s="313"/>
      <c r="FX46" s="313"/>
      <c r="FY46" s="313"/>
      <c r="FZ46" s="313"/>
      <c r="GA46" s="313"/>
      <c r="GB46" s="313"/>
      <c r="GC46" s="313"/>
      <c r="GD46" s="313"/>
      <c r="GE46" s="313"/>
      <c r="GF46" s="313"/>
      <c r="GG46" s="313"/>
      <c r="GH46" s="313"/>
      <c r="GI46" s="313"/>
      <c r="GJ46" s="313"/>
      <c r="GK46" s="313"/>
      <c r="GL46" s="313"/>
      <c r="GM46" s="313"/>
      <c r="GN46" s="313"/>
      <c r="GO46" s="313"/>
      <c r="GP46" s="313"/>
      <c r="GQ46" s="313"/>
      <c r="GR46" s="313"/>
      <c r="GS46" s="313"/>
      <c r="GT46" s="313"/>
      <c r="GU46" s="313"/>
      <c r="GV46" s="313"/>
      <c r="GW46" s="313"/>
      <c r="GX46" s="313"/>
      <c r="GY46" s="313"/>
      <c r="GZ46" s="313"/>
      <c r="HA46" s="313"/>
      <c r="HB46" s="313"/>
      <c r="HC46" s="313"/>
      <c r="HD46" s="313"/>
      <c r="HE46" s="313"/>
      <c r="HF46" s="313"/>
      <c r="HG46" s="313"/>
      <c r="HH46" s="313"/>
      <c r="HI46" s="313"/>
      <c r="HJ46" s="313"/>
      <c r="HK46" s="313"/>
      <c r="HL46" s="313"/>
    </row>
    <row r="47" spans="1:220" x14ac:dyDescent="0.2">
      <c r="A47" s="313" t="s">
        <v>190</v>
      </c>
      <c r="B47" s="313"/>
      <c r="C47" s="313"/>
      <c r="D47" s="349">
        <f>IF('Customer Info'!C35=TRUE,0,$D$28)</f>
        <v>0</v>
      </c>
      <c r="E47" s="333" t="s">
        <v>13</v>
      </c>
      <c r="F47" s="334" t="s">
        <v>80</v>
      </c>
      <c r="G47" s="100"/>
      <c r="H47" s="100"/>
      <c r="I47" s="90">
        <f>'Rider Rates'!$B$83</f>
        <v>0</v>
      </c>
      <c r="J47" s="90">
        <f>SUM(G47:I47)</f>
        <v>0</v>
      </c>
      <c r="K47" s="335" t="s">
        <v>85</v>
      </c>
      <c r="L47" s="89"/>
      <c r="M47" s="89"/>
      <c r="N47" s="189">
        <f>ROUND($D47*I47,2)</f>
        <v>0</v>
      </c>
      <c r="O47" s="128">
        <f t="shared" si="0"/>
        <v>0</v>
      </c>
      <c r="P47" s="92">
        <f>'Rider Rates'!$D$83</f>
        <v>45444</v>
      </c>
      <c r="Q47" s="101"/>
      <c r="R47" s="335"/>
      <c r="S47" s="95"/>
      <c r="T47" s="313"/>
      <c r="U47" s="96"/>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313"/>
      <c r="CQ47" s="313"/>
      <c r="CR47" s="313"/>
      <c r="CS47" s="313"/>
      <c r="CT47" s="313"/>
      <c r="CU47" s="313"/>
      <c r="CV47" s="313"/>
      <c r="CW47" s="313"/>
      <c r="CX47" s="313"/>
      <c r="CY47" s="313"/>
      <c r="CZ47" s="313"/>
      <c r="DA47" s="313"/>
      <c r="DB47" s="313"/>
      <c r="DC47" s="313"/>
      <c r="DD47" s="313"/>
      <c r="DE47" s="313"/>
      <c r="DF47" s="313"/>
      <c r="DG47" s="313"/>
      <c r="DH47" s="313"/>
      <c r="DI47" s="313"/>
      <c r="DJ47" s="313"/>
      <c r="DK47" s="313"/>
      <c r="DL47" s="313"/>
      <c r="DM47" s="313"/>
      <c r="DN47" s="313"/>
      <c r="DO47" s="313"/>
      <c r="DP47" s="313"/>
      <c r="DQ47" s="313"/>
      <c r="DR47" s="313"/>
      <c r="DS47" s="313"/>
      <c r="DT47" s="313"/>
      <c r="DU47" s="313"/>
      <c r="DV47" s="313"/>
      <c r="DW47" s="313"/>
      <c r="DX47" s="313"/>
      <c r="DY47" s="313"/>
      <c r="DZ47" s="313"/>
      <c r="EA47" s="313"/>
      <c r="EB47" s="313"/>
      <c r="EC47" s="313"/>
      <c r="ED47" s="313"/>
      <c r="EE47" s="313"/>
      <c r="EF47" s="313"/>
      <c r="EG47" s="313"/>
      <c r="EH47" s="313"/>
      <c r="EI47" s="313"/>
      <c r="EJ47" s="313"/>
      <c r="EK47" s="313"/>
      <c r="EL47" s="313"/>
      <c r="EM47" s="313"/>
      <c r="EN47" s="313"/>
      <c r="EO47" s="313"/>
      <c r="EP47" s="313"/>
      <c r="EQ47" s="313"/>
      <c r="ER47" s="313"/>
      <c r="ES47" s="313"/>
      <c r="ET47" s="313"/>
      <c r="EU47" s="313"/>
      <c r="EV47" s="313"/>
      <c r="EW47" s="313"/>
      <c r="EX47" s="313"/>
      <c r="EY47" s="313"/>
      <c r="EZ47" s="313"/>
      <c r="FA47" s="313"/>
      <c r="FB47" s="313"/>
      <c r="FC47" s="313"/>
      <c r="FD47" s="313"/>
      <c r="FE47" s="313"/>
      <c r="FF47" s="313"/>
      <c r="FG47" s="313"/>
      <c r="FH47" s="313"/>
      <c r="FI47" s="313"/>
      <c r="FJ47" s="313"/>
      <c r="FK47" s="313"/>
      <c r="FL47" s="313"/>
      <c r="FM47" s="313"/>
      <c r="FN47" s="313"/>
      <c r="FO47" s="313"/>
      <c r="FP47" s="313"/>
      <c r="FQ47" s="313"/>
      <c r="FR47" s="313"/>
      <c r="FS47" s="313"/>
      <c r="FT47" s="313"/>
      <c r="FU47" s="313"/>
      <c r="FV47" s="313"/>
      <c r="FW47" s="313"/>
      <c r="FX47" s="313"/>
      <c r="FY47" s="313"/>
      <c r="FZ47" s="313"/>
      <c r="GA47" s="313"/>
      <c r="GB47" s="313"/>
      <c r="GC47" s="313"/>
      <c r="GD47" s="313"/>
      <c r="GE47" s="313"/>
      <c r="GF47" s="313"/>
      <c r="GG47" s="313"/>
      <c r="GH47" s="313"/>
      <c r="GI47" s="313"/>
      <c r="GJ47" s="313"/>
      <c r="GK47" s="313"/>
      <c r="GL47" s="313"/>
      <c r="GM47" s="313"/>
      <c r="GN47" s="313"/>
      <c r="GO47" s="313"/>
      <c r="GP47" s="313"/>
      <c r="GQ47" s="313"/>
      <c r="GR47" s="313"/>
      <c r="GS47" s="313"/>
      <c r="GT47" s="313"/>
      <c r="GU47" s="313"/>
      <c r="GV47" s="313"/>
      <c r="GW47" s="313"/>
      <c r="GX47" s="313"/>
      <c r="GY47" s="313"/>
      <c r="GZ47" s="313"/>
      <c r="HA47" s="313"/>
      <c r="HB47" s="313"/>
      <c r="HC47" s="313"/>
      <c r="HD47" s="313"/>
      <c r="HE47" s="313"/>
      <c r="HF47" s="313"/>
      <c r="HG47" s="313"/>
      <c r="HH47" s="313"/>
      <c r="HI47" s="313"/>
      <c r="HJ47" s="313"/>
      <c r="HK47" s="313"/>
      <c r="HL47" s="313"/>
    </row>
    <row r="48" spans="1:220" x14ac:dyDescent="0.2">
      <c r="A48" s="313" t="s">
        <v>100</v>
      </c>
      <c r="B48" s="313"/>
      <c r="C48" s="313"/>
      <c r="D48" s="217">
        <f>$N$30</f>
        <v>9.4</v>
      </c>
      <c r="E48" s="333" t="s">
        <v>92</v>
      </c>
      <c r="F48" s="334" t="s">
        <v>80</v>
      </c>
      <c r="G48" s="117"/>
      <c r="H48" s="118"/>
      <c r="I48" s="119">
        <f>'Rider Rates'!$B$87</f>
        <v>3.5344300000000002E-2</v>
      </c>
      <c r="J48" s="347">
        <f>SUM(H48:I48)</f>
        <v>3.5344300000000002E-2</v>
      </c>
      <c r="K48" s="335"/>
      <c r="L48" s="89"/>
      <c r="M48" s="89"/>
      <c r="N48" s="89">
        <f>ROUND(N$30*I48,2)</f>
        <v>0.33</v>
      </c>
      <c r="O48" s="128">
        <f t="shared" si="0"/>
        <v>0.33</v>
      </c>
      <c r="P48" s="92">
        <f>'Rider Rates'!$D$87</f>
        <v>45929</v>
      </c>
      <c r="Q48" s="101"/>
      <c r="R48" s="335"/>
      <c r="S48" s="95"/>
      <c r="T48" s="313"/>
      <c r="U48" s="96"/>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I48" s="313"/>
      <c r="CJ48" s="313"/>
      <c r="CK48" s="313"/>
      <c r="CL48" s="313"/>
      <c r="CM48" s="313"/>
      <c r="CN48" s="313"/>
      <c r="CO48" s="313"/>
      <c r="CP48" s="313"/>
      <c r="CQ48" s="313"/>
      <c r="CR48" s="313"/>
      <c r="CS48" s="313"/>
      <c r="CT48" s="313"/>
      <c r="CU48" s="313"/>
      <c r="CV48" s="313"/>
      <c r="CW48" s="313"/>
      <c r="CX48" s="313"/>
      <c r="CY48" s="313"/>
      <c r="CZ48" s="313"/>
      <c r="DA48" s="313"/>
      <c r="DB48" s="313"/>
      <c r="DC48" s="313"/>
      <c r="DD48" s="313"/>
      <c r="DE48" s="313"/>
      <c r="DF48" s="313"/>
      <c r="DG48" s="313"/>
      <c r="DH48" s="313"/>
      <c r="DI48" s="313"/>
      <c r="DJ48" s="313"/>
      <c r="DK48" s="313"/>
      <c r="DL48" s="313"/>
      <c r="DM48" s="313"/>
      <c r="DN48" s="313"/>
      <c r="DO48" s="313"/>
      <c r="DP48" s="313"/>
      <c r="DQ48" s="313"/>
      <c r="DR48" s="313"/>
      <c r="DS48" s="313"/>
      <c r="DT48" s="313"/>
      <c r="DU48" s="313"/>
      <c r="DV48" s="313"/>
      <c r="DW48" s="313"/>
      <c r="DX48" s="313"/>
      <c r="DY48" s="313"/>
      <c r="DZ48" s="313"/>
      <c r="EA48" s="313"/>
      <c r="EB48" s="313"/>
      <c r="EC48" s="313"/>
      <c r="ED48" s="313"/>
      <c r="EE48" s="313"/>
      <c r="EF48" s="313"/>
      <c r="EG48" s="313"/>
      <c r="EH48" s="313"/>
      <c r="EI48" s="313"/>
      <c r="EJ48" s="313"/>
      <c r="EK48" s="313"/>
      <c r="EL48" s="313"/>
      <c r="EM48" s="313"/>
      <c r="EN48" s="313"/>
      <c r="EO48" s="313"/>
      <c r="EP48" s="313"/>
      <c r="EQ48" s="313"/>
      <c r="ER48" s="313"/>
      <c r="ES48" s="313"/>
      <c r="ET48" s="313"/>
      <c r="EU48" s="313"/>
      <c r="EV48" s="313"/>
      <c r="EW48" s="313"/>
      <c r="EX48" s="313"/>
      <c r="EY48" s="313"/>
      <c r="EZ48" s="313"/>
      <c r="FA48" s="313"/>
      <c r="FB48" s="313"/>
      <c r="FC48" s="313"/>
      <c r="FD48" s="313"/>
      <c r="FE48" s="313"/>
      <c r="FF48" s="313"/>
      <c r="FG48" s="313"/>
      <c r="FH48" s="313"/>
      <c r="FI48" s="313"/>
      <c r="FJ48" s="313"/>
      <c r="FK48" s="313"/>
      <c r="FL48" s="313"/>
      <c r="FM48" s="313"/>
      <c r="FN48" s="313"/>
      <c r="FO48" s="313"/>
      <c r="FP48" s="313"/>
      <c r="FQ48" s="313"/>
      <c r="FR48" s="313"/>
      <c r="FS48" s="313"/>
      <c r="FT48" s="313"/>
      <c r="FU48" s="313"/>
      <c r="FV48" s="313"/>
      <c r="FW48" s="313"/>
      <c r="FX48" s="313"/>
      <c r="FY48" s="313"/>
      <c r="FZ48" s="313"/>
      <c r="GA48" s="313"/>
      <c r="GB48" s="313"/>
      <c r="GC48" s="313"/>
      <c r="GD48" s="313"/>
      <c r="GE48" s="313"/>
      <c r="GF48" s="313"/>
      <c r="GG48" s="313"/>
      <c r="GH48" s="313"/>
      <c r="GI48" s="313"/>
      <c r="GJ48" s="313"/>
      <c r="GK48" s="313"/>
      <c r="GL48" s="313"/>
      <c r="GM48" s="313"/>
      <c r="GN48" s="313"/>
      <c r="GO48" s="313"/>
      <c r="GP48" s="313"/>
      <c r="GQ48" s="313"/>
      <c r="GR48" s="313"/>
      <c r="GS48" s="313"/>
      <c r="GT48" s="313"/>
      <c r="GU48" s="313"/>
      <c r="GV48" s="313"/>
      <c r="GW48" s="313"/>
      <c r="GX48" s="313"/>
      <c r="GY48" s="313"/>
      <c r="GZ48" s="313"/>
      <c r="HA48" s="313"/>
      <c r="HB48" s="313"/>
      <c r="HC48" s="313"/>
      <c r="HD48" s="313"/>
      <c r="HE48" s="313"/>
      <c r="HF48" s="313"/>
      <c r="HG48" s="313"/>
      <c r="HH48" s="313"/>
      <c r="HI48" s="313"/>
      <c r="HJ48" s="313"/>
      <c r="HK48" s="313"/>
      <c r="HL48" s="313"/>
    </row>
    <row r="49" spans="1:221" x14ac:dyDescent="0.2">
      <c r="A49" s="313" t="s">
        <v>101</v>
      </c>
      <c r="B49" s="313"/>
      <c r="C49" s="313"/>
      <c r="D49" s="217">
        <f>$N$30</f>
        <v>9.4</v>
      </c>
      <c r="E49" s="333" t="s">
        <v>92</v>
      </c>
      <c r="F49" s="334" t="s">
        <v>80</v>
      </c>
      <c r="G49" s="120"/>
      <c r="H49" s="85"/>
      <c r="I49" s="119">
        <f>'Rider Rates'!$B$89</f>
        <v>7.8822199999999995E-2</v>
      </c>
      <c r="J49" s="347">
        <f>SUM(H49:I49)</f>
        <v>7.8822199999999995E-2</v>
      </c>
      <c r="K49" s="335"/>
      <c r="L49" s="89"/>
      <c r="M49" s="89"/>
      <c r="N49" s="89">
        <f>ROUND(N$30*I49,2)</f>
        <v>0.74</v>
      </c>
      <c r="O49" s="128">
        <f t="shared" si="0"/>
        <v>0.74</v>
      </c>
      <c r="P49" s="92">
        <f>'Rider Rates'!$D$89</f>
        <v>45987</v>
      </c>
      <c r="Q49" s="101"/>
      <c r="R49" s="335"/>
      <c r="S49" s="95"/>
      <c r="T49" s="313"/>
      <c r="U49" s="96"/>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c r="CW49" s="313"/>
      <c r="CX49" s="313"/>
      <c r="CY49" s="313"/>
      <c r="CZ49" s="313"/>
      <c r="DA49" s="313"/>
      <c r="DB49" s="313"/>
      <c r="DC49" s="313"/>
      <c r="DD49" s="313"/>
      <c r="DE49" s="313"/>
      <c r="DF49" s="313"/>
      <c r="DG49" s="313"/>
      <c r="DH49" s="313"/>
      <c r="DI49" s="313"/>
      <c r="DJ49" s="313"/>
      <c r="DK49" s="313"/>
      <c r="DL49" s="313"/>
      <c r="DM49" s="313"/>
      <c r="DN49" s="313"/>
      <c r="DO49" s="313"/>
      <c r="DP49" s="313"/>
      <c r="DQ49" s="313"/>
      <c r="DR49" s="313"/>
      <c r="DS49" s="313"/>
      <c r="DT49" s="31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S49" s="313"/>
      <c r="ET49" s="313"/>
      <c r="EU49" s="313"/>
      <c r="EV49" s="313"/>
      <c r="EW49" s="313"/>
      <c r="EX49" s="313"/>
      <c r="EY49" s="313"/>
      <c r="EZ49" s="313"/>
      <c r="FA49" s="313"/>
      <c r="FB49" s="313"/>
      <c r="FC49" s="313"/>
      <c r="FD49" s="313"/>
      <c r="FE49" s="313"/>
      <c r="FF49" s="313"/>
      <c r="FG49" s="313"/>
      <c r="FH49" s="313"/>
      <c r="FI49" s="313"/>
      <c r="FJ49" s="313"/>
      <c r="FK49" s="313"/>
      <c r="FL49" s="313"/>
      <c r="FM49" s="313"/>
      <c r="FN49" s="313"/>
      <c r="FO49" s="313"/>
      <c r="FP49" s="313"/>
      <c r="FQ49" s="313"/>
      <c r="FR49" s="313"/>
      <c r="FS49" s="313"/>
      <c r="FT49" s="313"/>
      <c r="FU49" s="313"/>
      <c r="FV49" s="313"/>
      <c r="FW49" s="313"/>
      <c r="FX49" s="313"/>
      <c r="FY49" s="313"/>
      <c r="FZ49" s="313"/>
      <c r="GA49" s="313"/>
      <c r="GB49" s="313"/>
      <c r="GC49" s="313"/>
      <c r="GD49" s="313"/>
      <c r="GE49" s="313"/>
      <c r="GF49" s="313"/>
      <c r="GG49" s="313"/>
      <c r="GH49" s="313"/>
      <c r="GI49" s="313"/>
      <c r="GJ49" s="313"/>
      <c r="GK49" s="313"/>
      <c r="GL49" s="313"/>
      <c r="GM49" s="313"/>
      <c r="GN49" s="313"/>
      <c r="GO49" s="313"/>
      <c r="GP49" s="313"/>
      <c r="GQ49" s="313"/>
      <c r="GR49" s="313"/>
      <c r="GS49" s="313"/>
      <c r="GT49" s="313"/>
      <c r="GU49" s="313"/>
      <c r="GV49" s="313"/>
      <c r="GW49" s="313"/>
      <c r="GX49" s="313"/>
      <c r="GY49" s="313"/>
      <c r="GZ49" s="313"/>
      <c r="HA49" s="313"/>
      <c r="HB49" s="313"/>
      <c r="HC49" s="313"/>
      <c r="HD49" s="313"/>
      <c r="HE49" s="313"/>
      <c r="HF49" s="313"/>
      <c r="HG49" s="313"/>
      <c r="HH49" s="313"/>
      <c r="HI49" s="313"/>
      <c r="HJ49" s="313"/>
      <c r="HK49" s="313"/>
      <c r="HL49" s="313"/>
    </row>
    <row r="50" spans="1:221" x14ac:dyDescent="0.2">
      <c r="A50" s="313" t="s">
        <v>102</v>
      </c>
      <c r="B50" s="313"/>
      <c r="C50" s="313"/>
      <c r="D50" s="113"/>
      <c r="E50" s="333" t="s">
        <v>55</v>
      </c>
      <c r="F50" s="334"/>
      <c r="G50" s="120"/>
      <c r="H50" s="85"/>
      <c r="I50" s="121">
        <f>'Rider Rates'!$B$93</f>
        <v>21.84</v>
      </c>
      <c r="J50" s="350">
        <f>SUM(G50:I50)</f>
        <v>21.84</v>
      </c>
      <c r="K50" s="335"/>
      <c r="L50" s="89"/>
      <c r="M50" s="89"/>
      <c r="N50" s="89">
        <f>I50</f>
        <v>21.84</v>
      </c>
      <c r="O50" s="89">
        <f t="shared" si="0"/>
        <v>21.84</v>
      </c>
      <c r="P50" s="92">
        <f>'Rider Rates'!$D$93</f>
        <v>46022</v>
      </c>
    </row>
    <row r="51" spans="1:221" x14ac:dyDescent="0.2">
      <c r="A51" s="313" t="s">
        <v>175</v>
      </c>
      <c r="B51" s="313"/>
      <c r="C51" s="313"/>
      <c r="D51" s="4">
        <f>$D$34</f>
        <v>0</v>
      </c>
      <c r="E51" s="333" t="s">
        <v>19</v>
      </c>
      <c r="F51" s="334" t="s">
        <v>80</v>
      </c>
      <c r="G51" s="100"/>
      <c r="H51" s="100"/>
      <c r="I51" s="100"/>
      <c r="J51" s="100">
        <v>0</v>
      </c>
      <c r="K51" s="335" t="s">
        <v>85</v>
      </c>
      <c r="L51" s="89"/>
      <c r="M51" s="89"/>
      <c r="N51" s="189"/>
      <c r="O51" s="89">
        <v>0</v>
      </c>
      <c r="P51" s="92">
        <f>'Rider Rates'!$D$98</f>
        <v>44531</v>
      </c>
      <c r="Q51" s="334"/>
      <c r="R51" s="101"/>
      <c r="S51" s="335"/>
      <c r="T51" s="95"/>
      <c r="U51" s="313"/>
      <c r="V51" s="96"/>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I51" s="313"/>
      <c r="CJ51" s="313"/>
      <c r="CK51" s="313"/>
      <c r="CL51" s="313"/>
      <c r="CM51" s="313"/>
      <c r="CN51" s="313"/>
      <c r="CO51" s="313"/>
      <c r="CP51" s="313"/>
      <c r="CQ51" s="313"/>
      <c r="CR51" s="313"/>
      <c r="CS51" s="313"/>
      <c r="CT51" s="313"/>
      <c r="CU51" s="313"/>
      <c r="CV51" s="313"/>
      <c r="CW51" s="313"/>
      <c r="CX51" s="313"/>
      <c r="CY51" s="313"/>
      <c r="CZ51" s="313"/>
      <c r="DA51" s="313"/>
      <c r="DB51" s="313"/>
      <c r="DC51" s="313"/>
      <c r="DD51" s="313"/>
      <c r="DE51" s="313"/>
      <c r="DF51" s="313"/>
      <c r="DG51" s="313"/>
      <c r="DH51" s="313"/>
      <c r="DI51" s="313"/>
      <c r="DJ51" s="313"/>
      <c r="DK51" s="313"/>
      <c r="DL51" s="313"/>
      <c r="DM51" s="313"/>
      <c r="DN51" s="313"/>
      <c r="DO51" s="313"/>
      <c r="DP51" s="313"/>
      <c r="DQ51" s="313"/>
      <c r="DR51" s="313"/>
      <c r="DS51" s="313"/>
      <c r="DT51" s="313"/>
      <c r="DU51" s="313"/>
      <c r="DV51" s="313"/>
      <c r="DW51" s="313"/>
      <c r="DX51" s="313"/>
      <c r="DY51" s="313"/>
      <c r="DZ51" s="313"/>
      <c r="EA51" s="313"/>
      <c r="EB51" s="313"/>
      <c r="EC51" s="313"/>
      <c r="ED51" s="313"/>
      <c r="EE51" s="313"/>
      <c r="EF51" s="313"/>
      <c r="EG51" s="313"/>
      <c r="EH51" s="313"/>
      <c r="EI51" s="313"/>
      <c r="EJ51" s="313"/>
      <c r="EK51" s="313"/>
      <c r="EL51" s="313"/>
      <c r="EM51" s="313"/>
      <c r="EN51" s="313"/>
      <c r="EO51" s="313"/>
      <c r="EP51" s="313"/>
      <c r="EQ51" s="313"/>
      <c r="ER51" s="313"/>
      <c r="ES51" s="313"/>
      <c r="ET51" s="313"/>
      <c r="EU51" s="313"/>
      <c r="EV51" s="313"/>
      <c r="EW51" s="313"/>
      <c r="EX51" s="313"/>
      <c r="EY51" s="313"/>
      <c r="EZ51" s="313"/>
      <c r="FA51" s="313"/>
      <c r="FB51" s="313"/>
      <c r="FC51" s="313"/>
      <c r="FD51" s="313"/>
      <c r="FE51" s="313"/>
      <c r="FF51" s="313"/>
      <c r="FG51" s="313"/>
      <c r="FH51" s="313"/>
      <c r="FI51" s="313"/>
      <c r="FJ51" s="313"/>
      <c r="FK51" s="313"/>
      <c r="FL51" s="313"/>
      <c r="FM51" s="313"/>
      <c r="FN51" s="313"/>
      <c r="FO51" s="313"/>
      <c r="FP51" s="313"/>
      <c r="FQ51" s="313"/>
      <c r="FR51" s="313"/>
      <c r="FS51" s="313"/>
      <c r="FT51" s="313"/>
      <c r="FU51" s="313"/>
      <c r="FV51" s="313"/>
      <c r="FW51" s="313"/>
      <c r="FX51" s="313"/>
      <c r="FY51" s="313"/>
      <c r="FZ51" s="313"/>
      <c r="GA51" s="313"/>
      <c r="GB51" s="313"/>
      <c r="GC51" s="313"/>
      <c r="GD51" s="313"/>
      <c r="GE51" s="313"/>
      <c r="GF51" s="313"/>
      <c r="GG51" s="313"/>
      <c r="GH51" s="313"/>
      <c r="GI51" s="313"/>
      <c r="GJ51" s="313"/>
      <c r="GK51" s="313"/>
      <c r="GL51" s="313"/>
      <c r="GM51" s="313"/>
      <c r="GN51" s="313"/>
      <c r="GO51" s="313"/>
      <c r="GP51" s="313"/>
      <c r="GQ51" s="313"/>
      <c r="GR51" s="313"/>
      <c r="GS51" s="313"/>
      <c r="GT51" s="313"/>
      <c r="GU51" s="313"/>
      <c r="GV51" s="313"/>
      <c r="GW51" s="313"/>
      <c r="GX51" s="313"/>
      <c r="GY51" s="313"/>
      <c r="GZ51" s="313"/>
      <c r="HA51" s="313"/>
      <c r="HB51" s="313"/>
      <c r="HC51" s="313"/>
      <c r="HD51" s="313"/>
      <c r="HE51" s="313"/>
      <c r="HF51" s="313"/>
      <c r="HG51" s="313"/>
      <c r="HH51" s="313"/>
      <c r="HI51" s="313"/>
      <c r="HJ51" s="313"/>
      <c r="HK51" s="313"/>
      <c r="HL51" s="313"/>
      <c r="HM51" s="313"/>
    </row>
    <row r="52" spans="1:221" x14ac:dyDescent="0.2">
      <c r="A52" s="313" t="s">
        <v>176</v>
      </c>
      <c r="B52" s="313"/>
      <c r="C52" s="313"/>
      <c r="D52" s="4">
        <f>$D$35</f>
        <v>0</v>
      </c>
      <c r="E52" s="333" t="s">
        <v>19</v>
      </c>
      <c r="F52" s="334" t="s">
        <v>80</v>
      </c>
      <c r="G52" s="100"/>
      <c r="H52" s="100"/>
      <c r="I52" s="100"/>
      <c r="J52" s="100">
        <v>0</v>
      </c>
      <c r="K52" s="335" t="s">
        <v>85</v>
      </c>
      <c r="L52" s="89"/>
      <c r="M52" s="89"/>
      <c r="N52" s="189"/>
      <c r="O52" s="89">
        <v>0</v>
      </c>
      <c r="P52" s="92">
        <f>'Rider Rates'!$D$99</f>
        <v>44531</v>
      </c>
      <c r="Q52" s="334"/>
      <c r="R52" s="101"/>
      <c r="S52" s="335"/>
      <c r="T52" s="95"/>
      <c r="U52" s="313"/>
      <c r="V52" s="96"/>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S52" s="313"/>
      <c r="ET52" s="313"/>
      <c r="EU52" s="313"/>
      <c r="EV52" s="313"/>
      <c r="EW52" s="313"/>
      <c r="EX52" s="313"/>
      <c r="EY52" s="313"/>
      <c r="EZ52" s="313"/>
      <c r="FA52" s="313"/>
      <c r="FB52" s="313"/>
      <c r="FC52" s="313"/>
      <c r="FD52" s="313"/>
      <c r="FE52" s="313"/>
      <c r="FF52" s="313"/>
      <c r="FG52" s="313"/>
      <c r="FH52" s="313"/>
      <c r="FI52" s="313"/>
      <c r="FJ52" s="313"/>
      <c r="FK52" s="313"/>
      <c r="FL52" s="313"/>
      <c r="FM52" s="313"/>
      <c r="FN52" s="313"/>
      <c r="FO52" s="313"/>
      <c r="FP52" s="313"/>
      <c r="FQ52" s="313"/>
      <c r="FR52" s="313"/>
      <c r="FS52" s="313"/>
      <c r="FT52" s="313"/>
      <c r="FU52" s="313"/>
      <c r="FV52" s="313"/>
      <c r="FW52" s="313"/>
      <c r="FX52" s="313"/>
      <c r="FY52" s="313"/>
      <c r="FZ52" s="313"/>
      <c r="GA52" s="313"/>
      <c r="GB52" s="313"/>
      <c r="GC52" s="313"/>
      <c r="GD52" s="313"/>
      <c r="GE52" s="313"/>
      <c r="GF52" s="313"/>
      <c r="GG52" s="313"/>
      <c r="GH52" s="313"/>
      <c r="GI52" s="313"/>
      <c r="GJ52" s="313"/>
      <c r="GK52" s="313"/>
      <c r="GL52" s="313"/>
      <c r="GM52" s="313"/>
      <c r="GN52" s="313"/>
      <c r="GO52" s="313"/>
      <c r="GP52" s="313"/>
      <c r="GQ52" s="313"/>
      <c r="GR52" s="313"/>
      <c r="GS52" s="313"/>
      <c r="GT52" s="313"/>
      <c r="GU52" s="313"/>
      <c r="GV52" s="313"/>
      <c r="GW52" s="313"/>
      <c r="GX52" s="313"/>
      <c r="GY52" s="313"/>
      <c r="GZ52" s="313"/>
      <c r="HA52" s="313"/>
      <c r="HB52" s="313"/>
      <c r="HC52" s="313"/>
      <c r="HD52" s="313"/>
      <c r="HE52" s="313"/>
      <c r="HF52" s="313"/>
      <c r="HG52" s="313"/>
      <c r="HH52" s="313"/>
      <c r="HI52" s="313"/>
      <c r="HJ52" s="313"/>
      <c r="HK52" s="313"/>
      <c r="HL52" s="313"/>
      <c r="HM52" s="313"/>
    </row>
    <row r="53" spans="1:221" x14ac:dyDescent="0.2">
      <c r="A53" s="313" t="s">
        <v>104</v>
      </c>
      <c r="B53" s="313"/>
      <c r="C53" s="313"/>
      <c r="D53" s="217">
        <f>$N$30</f>
        <v>9.4</v>
      </c>
      <c r="E53" s="333" t="s">
        <v>92</v>
      </c>
      <c r="F53" s="334" t="s">
        <v>80</v>
      </c>
      <c r="G53" s="120"/>
      <c r="H53" s="85"/>
      <c r="I53" s="119">
        <f>'Rider Rates'!$B$107</f>
        <v>0.24079249999999999</v>
      </c>
      <c r="J53" s="347">
        <f>SUM(H53:I53)</f>
        <v>0.24079249999999999</v>
      </c>
      <c r="K53" s="335"/>
      <c r="L53" s="89"/>
      <c r="M53" s="89"/>
      <c r="N53" s="89">
        <f>ROUND(N$30*I53,2)</f>
        <v>2.2599999999999998</v>
      </c>
      <c r="O53" s="89">
        <f t="shared" ref="O53:O60" si="1">SUM(L53:N53)</f>
        <v>2.2599999999999998</v>
      </c>
      <c r="P53" s="92">
        <f>'Rider Rates'!$D$107</f>
        <v>45987</v>
      </c>
      <c r="Q53" s="334"/>
      <c r="R53" s="101"/>
      <c r="S53" s="335"/>
      <c r="T53" s="95"/>
      <c r="U53" s="313"/>
      <c r="V53" s="96"/>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S53" s="313"/>
      <c r="ET53" s="313"/>
      <c r="EU53" s="313"/>
      <c r="EV53" s="313"/>
      <c r="EW53" s="313"/>
      <c r="EX53" s="313"/>
      <c r="EY53" s="313"/>
      <c r="EZ53" s="313"/>
      <c r="FA53" s="313"/>
      <c r="FB53" s="313"/>
      <c r="FC53" s="313"/>
      <c r="FD53" s="313"/>
      <c r="FE53" s="313"/>
      <c r="FF53" s="313"/>
      <c r="FG53" s="313"/>
      <c r="FH53" s="313"/>
      <c r="FI53" s="313"/>
      <c r="FJ53" s="313"/>
      <c r="FK53" s="313"/>
      <c r="FL53" s="313"/>
      <c r="FM53" s="313"/>
      <c r="FN53" s="313"/>
      <c r="FO53" s="313"/>
      <c r="FP53" s="313"/>
      <c r="FQ53" s="313"/>
      <c r="FR53" s="313"/>
      <c r="FS53" s="313"/>
      <c r="FT53" s="313"/>
      <c r="FU53" s="313"/>
      <c r="FV53" s="313"/>
      <c r="FW53" s="313"/>
      <c r="FX53" s="313"/>
      <c r="FY53" s="313"/>
      <c r="FZ53" s="313"/>
      <c r="GA53" s="313"/>
      <c r="GB53" s="313"/>
      <c r="GC53" s="313"/>
      <c r="GD53" s="313"/>
      <c r="GE53" s="313"/>
      <c r="GF53" s="313"/>
      <c r="GG53" s="313"/>
      <c r="GH53" s="313"/>
      <c r="GI53" s="313"/>
      <c r="GJ53" s="313"/>
      <c r="GK53" s="313"/>
      <c r="GL53" s="313"/>
      <c r="GM53" s="313"/>
      <c r="GN53" s="313"/>
      <c r="GO53" s="313"/>
      <c r="GP53" s="313"/>
      <c r="GQ53" s="313"/>
      <c r="GR53" s="313"/>
      <c r="GS53" s="313"/>
      <c r="GT53" s="313"/>
      <c r="GU53" s="313"/>
      <c r="GV53" s="313"/>
      <c r="GW53" s="313"/>
      <c r="GX53" s="313"/>
      <c r="GY53" s="313"/>
      <c r="GZ53" s="313"/>
      <c r="HA53" s="313"/>
      <c r="HB53" s="313"/>
      <c r="HC53" s="313"/>
      <c r="HD53" s="313"/>
      <c r="HE53" s="313"/>
      <c r="HF53" s="313"/>
      <c r="HG53" s="313"/>
      <c r="HH53" s="313"/>
      <c r="HI53" s="313"/>
      <c r="HJ53" s="313"/>
      <c r="HK53" s="313"/>
      <c r="HL53" s="313"/>
      <c r="HM53" s="313"/>
    </row>
    <row r="54" spans="1:221" x14ac:dyDescent="0.2">
      <c r="A54" s="313" t="s">
        <v>105</v>
      </c>
      <c r="B54" s="313"/>
      <c r="C54" s="313"/>
      <c r="D54" s="113"/>
      <c r="E54" s="333" t="s">
        <v>55</v>
      </c>
      <c r="F54" s="334"/>
      <c r="G54" s="120"/>
      <c r="H54" s="85"/>
      <c r="I54" s="123">
        <f>'Rider Rates'!B123</f>
        <v>0.99</v>
      </c>
      <c r="J54" s="350">
        <f>SUM(G54:I54)</f>
        <v>0.99</v>
      </c>
      <c r="K54" s="335"/>
      <c r="L54" s="89"/>
      <c r="M54" s="89"/>
      <c r="N54" s="125">
        <f>I54</f>
        <v>0.99</v>
      </c>
      <c r="O54" s="89">
        <f t="shared" si="1"/>
        <v>0.99</v>
      </c>
      <c r="P54" s="92">
        <f>'Rider Rates'!D123</f>
        <v>45958</v>
      </c>
      <c r="Q54" s="334"/>
      <c r="R54" s="101"/>
      <c r="S54" s="335"/>
      <c r="T54" s="95"/>
      <c r="U54" s="313"/>
      <c r="V54" s="96"/>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S54" s="313"/>
      <c r="ET54" s="313"/>
      <c r="EU54" s="313"/>
      <c r="EV54" s="313"/>
      <c r="EW54" s="313"/>
      <c r="EX54" s="313"/>
      <c r="EY54" s="313"/>
      <c r="EZ54" s="313"/>
      <c r="FA54" s="313"/>
      <c r="FB54" s="313"/>
      <c r="FC54" s="313"/>
      <c r="FD54" s="313"/>
      <c r="FE54" s="313"/>
      <c r="FF54" s="313"/>
      <c r="FG54" s="313"/>
      <c r="FH54" s="313"/>
      <c r="FI54" s="313"/>
      <c r="FJ54" s="313"/>
      <c r="FK54" s="313"/>
      <c r="FL54" s="313"/>
      <c r="FM54" s="313"/>
      <c r="FN54" s="313"/>
      <c r="FO54" s="313"/>
      <c r="FP54" s="313"/>
      <c r="FQ54" s="313"/>
      <c r="FR54" s="313"/>
      <c r="FS54" s="313"/>
      <c r="FT54" s="313"/>
      <c r="FU54" s="313"/>
      <c r="FV54" s="313"/>
      <c r="FW54" s="313"/>
      <c r="FX54" s="313"/>
      <c r="FY54" s="313"/>
      <c r="FZ54" s="313"/>
      <c r="GA54" s="313"/>
      <c r="GB54" s="313"/>
      <c r="GC54" s="313"/>
      <c r="GD54" s="313"/>
      <c r="GE54" s="313"/>
      <c r="GF54" s="313"/>
      <c r="GG54" s="313"/>
      <c r="GH54" s="313"/>
      <c r="GI54" s="313"/>
      <c r="GJ54" s="313"/>
      <c r="GK54" s="313"/>
      <c r="GL54" s="313"/>
      <c r="GM54" s="313"/>
      <c r="GN54" s="313"/>
      <c r="GO54" s="313"/>
      <c r="GP54" s="313"/>
      <c r="GQ54" s="313"/>
      <c r="GR54" s="313"/>
      <c r="GS54" s="313"/>
      <c r="GT54" s="313"/>
      <c r="GU54" s="313"/>
      <c r="GV54" s="313"/>
      <c r="GW54" s="313"/>
      <c r="GX54" s="313"/>
      <c r="GY54" s="313"/>
      <c r="GZ54" s="313"/>
      <c r="HA54" s="313"/>
      <c r="HB54" s="313"/>
      <c r="HC54" s="313"/>
      <c r="HD54" s="313"/>
      <c r="HE54" s="313"/>
      <c r="HF54" s="313"/>
      <c r="HG54" s="313"/>
      <c r="HH54" s="313"/>
      <c r="HI54" s="313"/>
      <c r="HJ54" s="313"/>
      <c r="HK54" s="313"/>
      <c r="HL54" s="313"/>
      <c r="HM54" s="313"/>
    </row>
    <row r="55" spans="1:221" x14ac:dyDescent="0.2">
      <c r="A55" s="313" t="s">
        <v>106</v>
      </c>
      <c r="B55" s="313"/>
      <c r="C55" s="313"/>
      <c r="D55" s="111">
        <f>IF('Customer Info'!$C$33=TRUE,0,'Customer Info'!$B$22+'Customer Info'!$B$23-'Customer Info'!$B$24)</f>
        <v>0</v>
      </c>
      <c r="E55" s="333" t="s">
        <v>19</v>
      </c>
      <c r="F55" s="334" t="s">
        <v>80</v>
      </c>
      <c r="G55" s="100">
        <f>'Rider Rates'!$B$113</f>
        <v>3.8972999999999998E-3</v>
      </c>
      <c r="H55" s="100"/>
      <c r="I55" s="119"/>
      <c r="J55" s="348">
        <f>SUM(G55:H55)</f>
        <v>3.8972999999999998E-3</v>
      </c>
      <c r="K55" s="335" t="s">
        <v>85</v>
      </c>
      <c r="L55" s="89">
        <f>ROUND(D55*G55,2)</f>
        <v>0</v>
      </c>
      <c r="M55" s="89"/>
      <c r="N55" s="89"/>
      <c r="O55" s="89">
        <f t="shared" si="1"/>
        <v>0</v>
      </c>
      <c r="P55" s="92">
        <f>'Rider Rates'!$D$114</f>
        <v>44531</v>
      </c>
      <c r="Q55" s="334"/>
      <c r="R55" s="101"/>
      <c r="S55" s="335"/>
      <c r="T55" s="95"/>
      <c r="U55" s="313"/>
      <c r="V55" s="96"/>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313"/>
      <c r="DB55" s="313"/>
      <c r="DC55" s="313"/>
      <c r="DD55" s="313"/>
      <c r="DE55" s="313"/>
      <c r="DF55" s="313"/>
      <c r="DG55" s="313"/>
      <c r="DH55" s="313"/>
      <c r="DI55" s="313"/>
      <c r="DJ55" s="313"/>
      <c r="DK55" s="313"/>
      <c r="DL55" s="313"/>
      <c r="DM55" s="313"/>
      <c r="DN55" s="313"/>
      <c r="DO55" s="313"/>
      <c r="DP55" s="313"/>
      <c r="DQ55" s="313"/>
      <c r="DR55" s="313"/>
      <c r="DS55" s="313"/>
      <c r="DT55" s="313"/>
      <c r="DU55" s="313"/>
      <c r="DV55" s="313"/>
      <c r="DW55" s="313"/>
      <c r="DX55" s="313"/>
      <c r="DY55" s="313"/>
      <c r="DZ55" s="313"/>
      <c r="EA55" s="313"/>
      <c r="EB55" s="313"/>
      <c r="EC55" s="313"/>
      <c r="ED55" s="313"/>
      <c r="EE55" s="313"/>
      <c r="EF55" s="313"/>
      <c r="EG55" s="313"/>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313"/>
      <c r="FW55" s="313"/>
      <c r="FX55" s="313"/>
      <c r="FY55" s="313"/>
      <c r="FZ55" s="313"/>
      <c r="GA55" s="313"/>
      <c r="GB55" s="313"/>
      <c r="GC55" s="313"/>
      <c r="GD55" s="313"/>
      <c r="GE55" s="313"/>
      <c r="GF55" s="313"/>
      <c r="GG55" s="313"/>
      <c r="GH55" s="313"/>
      <c r="GI55" s="313"/>
      <c r="GJ55" s="313"/>
      <c r="GK55" s="313"/>
      <c r="GL55" s="313"/>
      <c r="GM55" s="313"/>
      <c r="GN55" s="313"/>
      <c r="GO55" s="313"/>
      <c r="GP55" s="313"/>
      <c r="GQ55" s="313"/>
      <c r="GR55" s="313"/>
      <c r="GS55" s="313"/>
      <c r="GT55" s="313"/>
      <c r="GU55" s="313"/>
      <c r="GV55" s="313"/>
      <c r="GW55" s="313"/>
      <c r="GX55" s="313"/>
      <c r="GY55" s="313"/>
      <c r="GZ55" s="313"/>
      <c r="HA55" s="313"/>
      <c r="HB55" s="313"/>
      <c r="HC55" s="313"/>
      <c r="HD55" s="313"/>
      <c r="HE55" s="313"/>
      <c r="HF55" s="313"/>
      <c r="HG55" s="313"/>
      <c r="HH55" s="313"/>
      <c r="HI55" s="313"/>
      <c r="HJ55" s="313"/>
      <c r="HK55" s="313"/>
      <c r="HL55" s="313"/>
      <c r="HM55" s="313"/>
    </row>
    <row r="56" spans="1:221" x14ac:dyDescent="0.2">
      <c r="A56" s="313" t="s">
        <v>107</v>
      </c>
      <c r="B56" s="313"/>
      <c r="C56" s="313"/>
      <c r="D56" s="4">
        <f>IF($C$16&lt;1,0,$C$16)</f>
        <v>0</v>
      </c>
      <c r="E56" s="333" t="s">
        <v>19</v>
      </c>
      <c r="F56" s="334" t="s">
        <v>80</v>
      </c>
      <c r="G56" s="99"/>
      <c r="H56" s="99"/>
      <c r="I56" s="183">
        <f>'Rider Rates'!B119</f>
        <v>0</v>
      </c>
      <c r="J56" s="183">
        <f>SUM(G56:I56)</f>
        <v>0</v>
      </c>
      <c r="K56" s="335" t="s">
        <v>85</v>
      </c>
      <c r="L56" s="89"/>
      <c r="M56" s="89"/>
      <c r="N56" s="89">
        <f>D56*I56</f>
        <v>0</v>
      </c>
      <c r="O56" s="89">
        <f t="shared" si="1"/>
        <v>0</v>
      </c>
      <c r="P56" s="92">
        <f>'Rider Rates'!D119</f>
        <v>45657</v>
      </c>
      <c r="Q56" s="334"/>
      <c r="R56" s="101"/>
      <c r="S56" s="335"/>
      <c r="T56" s="95"/>
      <c r="U56" s="313"/>
      <c r="V56" s="96"/>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I56" s="313"/>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313"/>
      <c r="ED56" s="313"/>
      <c r="EE56" s="313"/>
      <c r="EF56" s="313"/>
      <c r="EG56" s="313"/>
      <c r="EH56" s="313"/>
      <c r="EI56" s="313"/>
      <c r="EJ56" s="313"/>
      <c r="EK56" s="313"/>
      <c r="EL56" s="313"/>
      <c r="EM56" s="313"/>
      <c r="EN56" s="313"/>
      <c r="EO56" s="313"/>
      <c r="EP56" s="313"/>
      <c r="EQ56" s="313"/>
      <c r="ER56" s="313"/>
      <c r="ES56" s="313"/>
      <c r="ET56" s="313"/>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row>
    <row r="57" spans="1:221" x14ac:dyDescent="0.2">
      <c r="A57" s="313" t="s">
        <v>166</v>
      </c>
      <c r="B57" s="313"/>
      <c r="C57" s="313"/>
      <c r="D57" s="111">
        <f>IF(C16&lt;0,0,IF(C16&gt;833000,833000,C16))</f>
        <v>0</v>
      </c>
      <c r="E57" s="333" t="s">
        <v>19</v>
      </c>
      <c r="F57" s="334" t="s">
        <v>80</v>
      </c>
      <c r="G57" s="195"/>
      <c r="H57" s="195"/>
      <c r="I57" s="195">
        <f>'Rider Rates'!$B$127</f>
        <v>0</v>
      </c>
      <c r="J57" s="351">
        <f>SUM(G57:I57)</f>
        <v>0</v>
      </c>
      <c r="K57" s="335" t="s">
        <v>85</v>
      </c>
      <c r="L57" s="352"/>
      <c r="M57" s="352"/>
      <c r="N57" s="352">
        <f>IF(D57*J57&gt;'Rider Rates'!$C$127,'Rider Rates'!$C$127,D57*J57)</f>
        <v>0</v>
      </c>
      <c r="O57" s="352">
        <f t="shared" si="1"/>
        <v>0</v>
      </c>
      <c r="P57" s="129">
        <f>'Rider Rates'!$E$127</f>
        <v>45883</v>
      </c>
      <c r="Q57" s="334"/>
      <c r="R57" s="101"/>
      <c r="S57" s="335"/>
      <c r="T57" s="95"/>
      <c r="U57" s="313"/>
      <c r="V57" s="96"/>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I57" s="313"/>
      <c r="CJ57" s="313"/>
      <c r="CK57" s="313"/>
      <c r="CL57" s="313"/>
      <c r="CM57" s="313"/>
      <c r="CN57" s="313"/>
      <c r="CO57" s="313"/>
      <c r="CP57" s="313"/>
      <c r="CQ57" s="313"/>
      <c r="CR57" s="313"/>
      <c r="CS57" s="313"/>
      <c r="CT57" s="313"/>
      <c r="CU57" s="313"/>
      <c r="CV57" s="313"/>
      <c r="CW57" s="313"/>
      <c r="CX57" s="313"/>
      <c r="CY57" s="313"/>
      <c r="CZ57" s="313"/>
      <c r="DA57" s="313"/>
      <c r="DB57" s="313"/>
      <c r="DC57" s="313"/>
      <c r="DD57" s="313"/>
      <c r="DE57" s="313"/>
      <c r="DF57" s="313"/>
      <c r="DG57" s="313"/>
      <c r="DH57" s="313"/>
      <c r="DI57" s="313"/>
      <c r="DJ57" s="313"/>
      <c r="DK57" s="313"/>
      <c r="DL57" s="313"/>
      <c r="DM57" s="313"/>
      <c r="DN57" s="313"/>
      <c r="DO57" s="313"/>
      <c r="DP57" s="313"/>
      <c r="DQ57" s="313"/>
      <c r="DR57" s="313"/>
      <c r="DS57" s="313"/>
      <c r="DT57" s="313"/>
      <c r="DU57" s="313"/>
      <c r="DV57" s="313"/>
      <c r="DW57" s="313"/>
      <c r="DX57" s="313"/>
      <c r="DY57" s="313"/>
      <c r="DZ57" s="313"/>
      <c r="EA57" s="313"/>
      <c r="EB57" s="313"/>
      <c r="EC57" s="313"/>
      <c r="ED57" s="313"/>
      <c r="EE57" s="313"/>
      <c r="EF57" s="313"/>
      <c r="EG57" s="313"/>
      <c r="EH57" s="313"/>
      <c r="EI57" s="313"/>
      <c r="EJ57" s="313"/>
      <c r="EK57" s="313"/>
      <c r="EL57" s="313"/>
      <c r="EM57" s="313"/>
      <c r="EN57" s="313"/>
      <c r="EO57" s="313"/>
      <c r="EP57" s="313"/>
      <c r="EQ57" s="313"/>
      <c r="ER57" s="313"/>
      <c r="ES57" s="313"/>
      <c r="ET57" s="313"/>
      <c r="EU57" s="313"/>
      <c r="EV57" s="313"/>
      <c r="EW57" s="313"/>
      <c r="EX57" s="313"/>
      <c r="EY57" s="313"/>
      <c r="EZ57" s="313"/>
      <c r="FA57" s="313"/>
      <c r="FB57" s="313"/>
      <c r="FC57" s="313"/>
      <c r="FD57" s="313"/>
      <c r="FE57" s="313"/>
      <c r="FF57" s="313"/>
      <c r="FG57" s="313"/>
      <c r="FH57" s="313"/>
      <c r="FI57" s="313"/>
      <c r="FJ57" s="313"/>
      <c r="FK57" s="313"/>
      <c r="FL57" s="313"/>
      <c r="FM57" s="313"/>
      <c r="FN57" s="313"/>
      <c r="FO57" s="313"/>
      <c r="FP57" s="313"/>
      <c r="FQ57" s="313"/>
      <c r="FR57" s="313"/>
      <c r="FS57" s="313"/>
      <c r="FT57" s="313"/>
      <c r="FU57" s="313"/>
      <c r="FV57" s="313"/>
      <c r="FW57" s="313"/>
      <c r="FX57" s="313"/>
      <c r="FY57" s="313"/>
      <c r="FZ57" s="313"/>
      <c r="GA57" s="313"/>
      <c r="GB57" s="313"/>
      <c r="GC57" s="313"/>
      <c r="GD57" s="313"/>
      <c r="GE57" s="313"/>
      <c r="GF57" s="313"/>
      <c r="GG57" s="313"/>
      <c r="GH57" s="313"/>
      <c r="GI57" s="313"/>
      <c r="GJ57" s="313"/>
      <c r="GK57" s="313"/>
      <c r="GL57" s="313"/>
      <c r="GM57" s="313"/>
      <c r="GN57" s="313"/>
      <c r="GO57" s="313"/>
      <c r="GP57" s="313"/>
      <c r="GQ57" s="313"/>
      <c r="GR57" s="313"/>
      <c r="GS57" s="313"/>
      <c r="GT57" s="313"/>
      <c r="GU57" s="313"/>
      <c r="GV57" s="313"/>
      <c r="GW57" s="313"/>
      <c r="GX57" s="313"/>
      <c r="GY57" s="313"/>
      <c r="GZ57" s="313"/>
      <c r="HA57" s="313"/>
      <c r="HB57" s="313"/>
      <c r="HC57" s="313"/>
      <c r="HD57" s="313"/>
      <c r="HE57" s="313"/>
      <c r="HF57" s="313"/>
      <c r="HG57" s="313"/>
      <c r="HH57" s="313"/>
      <c r="HI57" s="313"/>
      <c r="HJ57" s="313"/>
      <c r="HK57" s="313"/>
      <c r="HL57" s="313"/>
      <c r="HM57" s="313"/>
    </row>
    <row r="58" spans="1:221" x14ac:dyDescent="0.2">
      <c r="A58" s="313" t="s">
        <v>167</v>
      </c>
      <c r="B58" s="313"/>
      <c r="C58" s="313"/>
      <c r="D58" s="4">
        <f>IF(C16&gt;833000,C16-833000,0)</f>
        <v>0</v>
      </c>
      <c r="E58" s="333" t="s">
        <v>19</v>
      </c>
      <c r="F58" s="334" t="s">
        <v>80</v>
      </c>
      <c r="G58" s="195"/>
      <c r="H58" s="195"/>
      <c r="I58" s="195">
        <f>'Rider Rates'!$B$128</f>
        <v>0</v>
      </c>
      <c r="J58" s="351">
        <f>SUM(G58:I58)</f>
        <v>0</v>
      </c>
      <c r="K58" s="335" t="s">
        <v>85</v>
      </c>
      <c r="L58" s="352"/>
      <c r="M58" s="352"/>
      <c r="N58" s="352">
        <f>D58*J58</f>
        <v>0</v>
      </c>
      <c r="O58" s="352">
        <f t="shared" si="1"/>
        <v>0</v>
      </c>
      <c r="P58" s="129">
        <f>'Rider Rates'!$E$128</f>
        <v>45883</v>
      </c>
      <c r="Q58" s="334"/>
      <c r="R58" s="101"/>
      <c r="S58" s="335"/>
      <c r="T58" s="95"/>
      <c r="U58" s="313"/>
      <c r="V58" s="96"/>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c r="EA58" s="313"/>
      <c r="EB58" s="313"/>
      <c r="EC58" s="313"/>
      <c r="ED58" s="313"/>
      <c r="EE58" s="313"/>
      <c r="EF58" s="313"/>
      <c r="EG58" s="313"/>
      <c r="EH58" s="313"/>
      <c r="EI58" s="313"/>
      <c r="EJ58" s="313"/>
      <c r="EK58" s="313"/>
      <c r="EL58" s="313"/>
      <c r="EM58" s="313"/>
      <c r="EN58" s="313"/>
      <c r="EO58" s="313"/>
      <c r="EP58" s="313"/>
      <c r="EQ58" s="313"/>
      <c r="ER58" s="313"/>
      <c r="ES58" s="313"/>
      <c r="ET58" s="313"/>
      <c r="EU58" s="313"/>
      <c r="EV58" s="313"/>
      <c r="EW58" s="313"/>
      <c r="EX58" s="313"/>
      <c r="EY58" s="313"/>
      <c r="EZ58" s="313"/>
      <c r="FA58" s="313"/>
      <c r="FB58" s="313"/>
      <c r="FC58" s="313"/>
      <c r="FD58" s="313"/>
      <c r="FE58" s="313"/>
      <c r="FF58" s="313"/>
      <c r="FG58" s="313"/>
      <c r="FH58" s="313"/>
      <c r="FI58" s="313"/>
      <c r="FJ58" s="313"/>
      <c r="FK58" s="313"/>
      <c r="FL58" s="313"/>
      <c r="FM58" s="313"/>
      <c r="FN58" s="313"/>
      <c r="FO58" s="313"/>
      <c r="FP58" s="313"/>
      <c r="FQ58" s="313"/>
      <c r="FR58" s="313"/>
      <c r="FS58" s="313"/>
      <c r="FT58" s="313"/>
      <c r="FU58" s="313"/>
      <c r="FV58" s="313"/>
      <c r="FW58" s="313"/>
      <c r="FX58" s="313"/>
      <c r="FY58" s="313"/>
      <c r="FZ58" s="313"/>
      <c r="GA58" s="313"/>
      <c r="GB58" s="313"/>
      <c r="GC58" s="313"/>
      <c r="GD58" s="313"/>
      <c r="GE58" s="313"/>
      <c r="GF58" s="313"/>
      <c r="GG58" s="313"/>
      <c r="GH58" s="313"/>
      <c r="GI58" s="313"/>
      <c r="GJ58" s="313"/>
      <c r="GK58" s="313"/>
      <c r="GL58" s="313"/>
      <c r="GM58" s="313"/>
      <c r="GN58" s="313"/>
      <c r="GO58" s="313"/>
      <c r="GP58" s="313"/>
      <c r="GQ58" s="313"/>
      <c r="GR58" s="313"/>
      <c r="GS58" s="313"/>
      <c r="GT58" s="313"/>
      <c r="GU58" s="313"/>
      <c r="GV58" s="313"/>
      <c r="GW58" s="313"/>
      <c r="GX58" s="313"/>
      <c r="GY58" s="313"/>
      <c r="GZ58" s="313"/>
      <c r="HA58" s="313"/>
      <c r="HB58" s="313"/>
      <c r="HC58" s="313"/>
      <c r="HD58" s="313"/>
      <c r="HE58" s="313"/>
      <c r="HF58" s="313"/>
      <c r="HG58" s="313"/>
      <c r="HH58" s="313"/>
      <c r="HI58" s="313"/>
      <c r="HJ58" s="313"/>
      <c r="HK58" s="313"/>
      <c r="HL58" s="313"/>
      <c r="HM58" s="313"/>
    </row>
    <row r="59" spans="1:221" x14ac:dyDescent="0.2">
      <c r="A59" s="313" t="s">
        <v>109</v>
      </c>
      <c r="B59" s="313"/>
      <c r="C59" s="313"/>
      <c r="D59" s="111">
        <f>D16</f>
        <v>0</v>
      </c>
      <c r="E59" s="333" t="s">
        <v>19</v>
      </c>
      <c r="F59" s="334" t="s">
        <v>80</v>
      </c>
      <c r="G59" s="100"/>
      <c r="H59" s="100"/>
      <c r="I59" s="100">
        <f>'Rider Rates'!$B$132</f>
        <v>0</v>
      </c>
      <c r="J59" s="348">
        <f>SUM(G59:I59)</f>
        <v>0</v>
      </c>
      <c r="K59" s="335" t="s">
        <v>85</v>
      </c>
      <c r="L59" s="89"/>
      <c r="M59" s="89"/>
      <c r="N59" s="89">
        <f>D59*J59</f>
        <v>0</v>
      </c>
      <c r="O59" s="89">
        <f t="shared" si="1"/>
        <v>0</v>
      </c>
      <c r="P59" s="92">
        <f>'Rider Rates'!$D$132</f>
        <v>44531</v>
      </c>
      <c r="Q59" s="334"/>
      <c r="R59" s="101"/>
      <c r="S59" s="335"/>
      <c r="T59" s="95"/>
      <c r="U59" s="313"/>
      <c r="V59" s="96"/>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I59" s="313"/>
      <c r="CJ59" s="313"/>
      <c r="CK59" s="313"/>
      <c r="CL59" s="313"/>
      <c r="CM59" s="313"/>
      <c r="CN59" s="313"/>
      <c r="CO59" s="313"/>
      <c r="CP59" s="313"/>
      <c r="CQ59" s="313"/>
      <c r="CR59" s="313"/>
      <c r="CS59" s="313"/>
      <c r="CT59" s="313"/>
      <c r="CU59" s="313"/>
      <c r="CV59" s="313"/>
      <c r="CW59" s="313"/>
      <c r="CX59" s="313"/>
      <c r="CY59" s="313"/>
      <c r="CZ59" s="313"/>
      <c r="DA59" s="313"/>
      <c r="DB59" s="313"/>
      <c r="DC59" s="313"/>
      <c r="DD59" s="313"/>
      <c r="DE59" s="313"/>
      <c r="DF59" s="313"/>
      <c r="DG59" s="313"/>
      <c r="DH59" s="313"/>
      <c r="DI59" s="313"/>
      <c r="DJ59" s="313"/>
      <c r="DK59" s="313"/>
      <c r="DL59" s="313"/>
      <c r="DM59" s="313"/>
      <c r="DN59" s="313"/>
      <c r="DO59" s="313"/>
      <c r="DP59" s="313"/>
      <c r="DQ59" s="313"/>
      <c r="DR59" s="313"/>
      <c r="DS59" s="313"/>
      <c r="DT59" s="313"/>
      <c r="DU59" s="313"/>
      <c r="DV59" s="313"/>
      <c r="DW59" s="313"/>
      <c r="DX59" s="313"/>
      <c r="DY59" s="313"/>
      <c r="DZ59" s="313"/>
      <c r="EA59" s="313"/>
      <c r="EB59" s="313"/>
      <c r="EC59" s="313"/>
      <c r="ED59" s="313"/>
      <c r="EE59" s="313"/>
      <c r="EF59" s="313"/>
      <c r="EG59" s="313"/>
      <c r="EH59" s="313"/>
      <c r="EI59" s="313"/>
      <c r="EJ59" s="313"/>
      <c r="EK59" s="313"/>
      <c r="EL59" s="313"/>
      <c r="EM59" s="313"/>
      <c r="EN59" s="313"/>
      <c r="EO59" s="313"/>
      <c r="EP59" s="313"/>
      <c r="EQ59" s="313"/>
      <c r="ER59" s="313"/>
      <c r="ES59" s="313"/>
      <c r="ET59" s="313"/>
      <c r="EU59" s="313"/>
      <c r="EV59" s="313"/>
      <c r="EW59" s="313"/>
      <c r="EX59" s="313"/>
      <c r="EY59" s="313"/>
      <c r="EZ59" s="313"/>
      <c r="FA59" s="313"/>
      <c r="FB59" s="313"/>
      <c r="FC59" s="313"/>
      <c r="FD59" s="313"/>
      <c r="FE59" s="313"/>
      <c r="FF59" s="313"/>
      <c r="FG59" s="313"/>
      <c r="FH59" s="313"/>
      <c r="FI59" s="313"/>
      <c r="FJ59" s="313"/>
      <c r="FK59" s="313"/>
      <c r="FL59" s="313"/>
      <c r="FM59" s="313"/>
      <c r="FN59" s="313"/>
      <c r="FO59" s="313"/>
      <c r="FP59" s="313"/>
      <c r="FQ59" s="313"/>
      <c r="FR59" s="313"/>
      <c r="FS59" s="313"/>
      <c r="FT59" s="313"/>
      <c r="FU59" s="313"/>
      <c r="FV59" s="313"/>
      <c r="FW59" s="313"/>
      <c r="FX59" s="313"/>
      <c r="FY59" s="313"/>
      <c r="FZ59" s="313"/>
      <c r="GA59" s="313"/>
      <c r="GB59" s="313"/>
      <c r="GC59" s="313"/>
      <c r="GD59" s="313"/>
      <c r="GE59" s="313"/>
      <c r="GF59" s="313"/>
      <c r="GG59" s="313"/>
      <c r="GH59" s="313"/>
      <c r="GI59" s="313"/>
      <c r="GJ59" s="313"/>
      <c r="GK59" s="313"/>
      <c r="GL59" s="313"/>
      <c r="GM59" s="313"/>
      <c r="GN59" s="313"/>
      <c r="GO59" s="313"/>
      <c r="GP59" s="313"/>
      <c r="GQ59" s="313"/>
      <c r="GR59" s="313"/>
      <c r="GS59" s="313"/>
      <c r="GT59" s="313"/>
      <c r="GU59" s="313"/>
      <c r="GV59" s="313"/>
      <c r="GW59" s="313"/>
      <c r="GX59" s="313"/>
      <c r="GY59" s="313"/>
      <c r="GZ59" s="313"/>
      <c r="HA59" s="313"/>
      <c r="HB59" s="313"/>
      <c r="HC59" s="313"/>
      <c r="HD59" s="313"/>
      <c r="HE59" s="313"/>
      <c r="HF59" s="313"/>
      <c r="HG59" s="313"/>
      <c r="HH59" s="313"/>
      <c r="HI59" s="313"/>
      <c r="HJ59" s="313"/>
      <c r="HK59" s="313"/>
      <c r="HL59" s="313"/>
      <c r="HM59" s="313"/>
    </row>
    <row r="60" spans="1:221" x14ac:dyDescent="0.2">
      <c r="A60" s="313" t="s">
        <v>110</v>
      </c>
      <c r="B60" s="313"/>
      <c r="C60" s="313"/>
      <c r="D60" s="353"/>
      <c r="E60" s="333" t="s">
        <v>55</v>
      </c>
      <c r="F60" s="334" t="s">
        <v>80</v>
      </c>
      <c r="G60" s="127"/>
      <c r="H60" s="127"/>
      <c r="I60" s="127">
        <f>'Rider Rates'!$B$139</f>
        <v>0</v>
      </c>
      <c r="J60" s="127">
        <f>SUM(G60:I60)</f>
        <v>0</v>
      </c>
      <c r="K60" s="335"/>
      <c r="L60" s="128"/>
      <c r="M60" s="128"/>
      <c r="N60" s="128">
        <f>J60</f>
        <v>0</v>
      </c>
      <c r="O60" s="128">
        <f t="shared" si="1"/>
        <v>0</v>
      </c>
      <c r="P60" s="129">
        <f>'Rider Rates'!$D$139</f>
        <v>44531</v>
      </c>
      <c r="Q60" s="334"/>
      <c r="R60" s="101"/>
      <c r="S60" s="335"/>
      <c r="T60" s="95"/>
      <c r="U60" s="313"/>
      <c r="V60" s="96"/>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I60" s="313"/>
      <c r="CJ60" s="313"/>
      <c r="CK60" s="313"/>
      <c r="CL60" s="313"/>
      <c r="CM60" s="313"/>
      <c r="CN60" s="313"/>
      <c r="CO60" s="313"/>
      <c r="CP60" s="313"/>
      <c r="CQ60" s="313"/>
      <c r="CR60" s="313"/>
      <c r="CS60" s="313"/>
      <c r="CT60" s="313"/>
      <c r="CU60" s="313"/>
      <c r="CV60" s="313"/>
      <c r="CW60" s="313"/>
      <c r="CX60" s="313"/>
      <c r="CY60" s="313"/>
      <c r="CZ60" s="313"/>
      <c r="DA60" s="313"/>
      <c r="DB60" s="313"/>
      <c r="DC60" s="313"/>
      <c r="DD60" s="313"/>
      <c r="DE60" s="313"/>
      <c r="DF60" s="313"/>
      <c r="DG60" s="313"/>
      <c r="DH60" s="313"/>
      <c r="DI60" s="313"/>
      <c r="DJ60" s="313"/>
      <c r="DK60" s="313"/>
      <c r="DL60" s="313"/>
      <c r="DM60" s="313"/>
      <c r="DN60" s="313"/>
      <c r="DO60" s="313"/>
      <c r="DP60" s="313"/>
      <c r="DQ60" s="313"/>
      <c r="DR60" s="313"/>
      <c r="DS60" s="313"/>
      <c r="DT60" s="313"/>
      <c r="DU60" s="313"/>
      <c r="DV60" s="313"/>
      <c r="DW60" s="313"/>
      <c r="DX60" s="313"/>
      <c r="DY60" s="313"/>
      <c r="DZ60" s="313"/>
      <c r="EA60" s="313"/>
      <c r="EB60" s="313"/>
      <c r="EC60" s="313"/>
      <c r="ED60" s="313"/>
      <c r="EE60" s="313"/>
      <c r="EF60" s="313"/>
      <c r="EG60" s="313"/>
      <c r="EH60" s="313"/>
      <c r="EI60" s="313"/>
      <c r="EJ60" s="313"/>
      <c r="EK60" s="313"/>
      <c r="EL60" s="313"/>
      <c r="EM60" s="313"/>
      <c r="EN60" s="313"/>
      <c r="EO60" s="313"/>
      <c r="EP60" s="313"/>
      <c r="EQ60" s="313"/>
      <c r="ER60" s="313"/>
      <c r="ES60" s="313"/>
      <c r="ET60" s="313"/>
      <c r="EU60" s="313"/>
      <c r="EV60" s="313"/>
      <c r="EW60" s="313"/>
      <c r="EX60" s="313"/>
      <c r="EY60" s="313"/>
      <c r="EZ60" s="313"/>
      <c r="FA60" s="313"/>
      <c r="FB60" s="313"/>
      <c r="FC60" s="313"/>
      <c r="FD60" s="313"/>
      <c r="FE60" s="313"/>
      <c r="FF60" s="313"/>
      <c r="FG60" s="313"/>
      <c r="FH60" s="313"/>
      <c r="FI60" s="313"/>
      <c r="FJ60" s="313"/>
      <c r="FK60" s="313"/>
      <c r="FL60" s="313"/>
      <c r="FM60" s="313"/>
      <c r="FN60" s="313"/>
      <c r="FO60" s="313"/>
      <c r="FP60" s="313"/>
      <c r="FQ60" s="313"/>
      <c r="FR60" s="313"/>
      <c r="FS60" s="313"/>
      <c r="FT60" s="313"/>
      <c r="FU60" s="313"/>
      <c r="FV60" s="313"/>
      <c r="FW60" s="313"/>
      <c r="FX60" s="313"/>
      <c r="FY60" s="313"/>
      <c r="FZ60" s="313"/>
      <c r="GA60" s="313"/>
      <c r="GB60" s="313"/>
      <c r="GC60" s="313"/>
      <c r="GD60" s="313"/>
      <c r="GE60" s="313"/>
      <c r="GF60" s="313"/>
      <c r="GG60" s="313"/>
      <c r="GH60" s="313"/>
      <c r="GI60" s="313"/>
      <c r="GJ60" s="313"/>
      <c r="GK60" s="313"/>
      <c r="GL60" s="313"/>
      <c r="GM60" s="313"/>
      <c r="GN60" s="313"/>
      <c r="GO60" s="313"/>
      <c r="GP60" s="313"/>
      <c r="GQ60" s="313"/>
      <c r="GR60" s="313"/>
      <c r="GS60" s="313"/>
      <c r="GT60" s="313"/>
      <c r="GU60" s="313"/>
      <c r="GV60" s="313"/>
      <c r="GW60" s="313"/>
      <c r="GX60" s="313"/>
      <c r="GY60" s="313"/>
      <c r="GZ60" s="313"/>
      <c r="HA60" s="313"/>
      <c r="HB60" s="313"/>
      <c r="HC60" s="313"/>
      <c r="HD60" s="313"/>
      <c r="HE60" s="313"/>
      <c r="HF60" s="313"/>
      <c r="HG60" s="313"/>
      <c r="HH60" s="313"/>
      <c r="HI60" s="313"/>
      <c r="HJ60" s="313"/>
      <c r="HK60" s="313"/>
      <c r="HL60" s="313"/>
      <c r="HM60" s="313"/>
    </row>
    <row r="61" spans="1:221" x14ac:dyDescent="0.2">
      <c r="A61" s="313" t="s">
        <v>111</v>
      </c>
      <c r="B61" s="313"/>
      <c r="C61" s="313"/>
      <c r="D61" s="353"/>
      <c r="E61" s="333"/>
      <c r="F61" s="334"/>
      <c r="G61" s="127"/>
      <c r="H61" s="127"/>
      <c r="I61" s="127"/>
      <c r="J61" s="127"/>
      <c r="K61" s="335"/>
      <c r="L61" s="128"/>
      <c r="M61" s="128"/>
      <c r="N61" s="128"/>
      <c r="O61" s="128"/>
      <c r="P61" s="354"/>
      <c r="Q61" s="334"/>
      <c r="R61" s="101"/>
      <c r="S61" s="335"/>
      <c r="T61" s="95"/>
      <c r="U61" s="313"/>
      <c r="V61" s="96"/>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c r="CW61" s="313"/>
      <c r="CX61" s="313"/>
      <c r="CY61" s="313"/>
      <c r="CZ61" s="313"/>
      <c r="DA61" s="313"/>
      <c r="DB61" s="313"/>
      <c r="DC61" s="313"/>
      <c r="DD61" s="313"/>
      <c r="DE61" s="313"/>
      <c r="DF61" s="313"/>
      <c r="DG61" s="313"/>
      <c r="DH61" s="313"/>
      <c r="DI61" s="313"/>
      <c r="DJ61" s="313"/>
      <c r="DK61" s="313"/>
      <c r="DL61" s="313"/>
      <c r="DM61" s="313"/>
      <c r="DN61" s="313"/>
      <c r="DO61" s="313"/>
      <c r="DP61" s="313"/>
      <c r="DQ61" s="313"/>
      <c r="DR61" s="313"/>
      <c r="DS61" s="313"/>
      <c r="DT61" s="313"/>
      <c r="DU61" s="313"/>
      <c r="DV61" s="313"/>
      <c r="DW61" s="313"/>
      <c r="DX61" s="313"/>
      <c r="DY61" s="313"/>
      <c r="DZ61" s="313"/>
      <c r="EA61" s="313"/>
      <c r="EB61" s="313"/>
      <c r="EC61" s="313"/>
      <c r="ED61" s="313"/>
      <c r="EE61" s="313"/>
      <c r="EF61" s="313"/>
      <c r="EG61" s="313"/>
      <c r="EH61" s="313"/>
      <c r="EI61" s="313"/>
      <c r="EJ61" s="313"/>
      <c r="EK61" s="313"/>
      <c r="EL61" s="313"/>
      <c r="EM61" s="313"/>
      <c r="EN61" s="313"/>
      <c r="EO61" s="313"/>
      <c r="EP61" s="313"/>
      <c r="EQ61" s="313"/>
      <c r="ER61" s="313"/>
      <c r="ES61" s="313"/>
      <c r="ET61" s="313"/>
      <c r="EU61" s="313"/>
      <c r="EV61" s="313"/>
      <c r="EW61" s="313"/>
      <c r="EX61" s="313"/>
      <c r="EY61" s="313"/>
      <c r="EZ61" s="313"/>
      <c r="FA61" s="313"/>
      <c r="FB61" s="313"/>
      <c r="FC61" s="313"/>
      <c r="FD61" s="313"/>
      <c r="FE61" s="313"/>
      <c r="FF61" s="313"/>
      <c r="FG61" s="313"/>
      <c r="FH61" s="313"/>
      <c r="FI61" s="313"/>
      <c r="FJ61" s="313"/>
      <c r="FK61" s="313"/>
      <c r="FL61" s="313"/>
      <c r="FM61" s="313"/>
      <c r="FN61" s="313"/>
      <c r="FO61" s="313"/>
      <c r="FP61" s="313"/>
      <c r="FQ61" s="313"/>
      <c r="FR61" s="313"/>
      <c r="FS61" s="313"/>
      <c r="FT61" s="313"/>
      <c r="FU61" s="313"/>
      <c r="FV61" s="313"/>
      <c r="FW61" s="313"/>
      <c r="FX61" s="313"/>
      <c r="FY61" s="313"/>
      <c r="FZ61" s="313"/>
      <c r="GA61" s="313"/>
      <c r="GB61" s="313"/>
      <c r="GC61" s="313"/>
      <c r="GD61" s="313"/>
      <c r="GE61" s="313"/>
      <c r="GF61" s="313"/>
      <c r="GG61" s="313"/>
      <c r="GH61" s="313"/>
      <c r="GI61" s="313"/>
      <c r="GJ61" s="313"/>
      <c r="GK61" s="313"/>
      <c r="GL61" s="313"/>
      <c r="GM61" s="313"/>
      <c r="GN61" s="313"/>
      <c r="GO61" s="313"/>
      <c r="GP61" s="313"/>
      <c r="GQ61" s="313"/>
      <c r="GR61" s="313"/>
      <c r="GS61" s="313"/>
      <c r="GT61" s="313"/>
      <c r="GU61" s="313"/>
      <c r="GV61" s="313"/>
      <c r="GW61" s="313"/>
      <c r="GX61" s="313"/>
      <c r="GY61" s="313"/>
      <c r="GZ61" s="313"/>
      <c r="HA61" s="313"/>
      <c r="HB61" s="313"/>
      <c r="HC61" s="313"/>
      <c r="HD61" s="313"/>
      <c r="HE61" s="313"/>
      <c r="HF61" s="313"/>
      <c r="HG61" s="313"/>
      <c r="HH61" s="313"/>
      <c r="HI61" s="313"/>
      <c r="HJ61" s="313"/>
      <c r="HK61" s="313"/>
      <c r="HL61" s="313"/>
      <c r="HM61" s="313"/>
    </row>
    <row r="62" spans="1:221" x14ac:dyDescent="0.2">
      <c r="A62" s="355" t="s">
        <v>112</v>
      </c>
      <c r="B62" s="356"/>
      <c r="C62" s="356"/>
      <c r="D62" s="357"/>
      <c r="E62" s="358"/>
      <c r="F62" s="359"/>
      <c r="G62" s="359"/>
      <c r="H62" s="359"/>
      <c r="I62" s="359"/>
      <c r="J62" s="359"/>
      <c r="K62" s="360"/>
      <c r="L62" s="361">
        <f>SUM(L34:L61)</f>
        <v>0</v>
      </c>
      <c r="M62" s="361">
        <f>SUM(M34:M61)</f>
        <v>0</v>
      </c>
      <c r="N62" s="361">
        <f>SUM(N34:N61)</f>
        <v>26.16</v>
      </c>
      <c r="O62" s="361">
        <f>SUM(O34:O61)</f>
        <v>26.16</v>
      </c>
      <c r="P62" s="362"/>
    </row>
    <row r="63" spans="1:221" x14ac:dyDescent="0.2">
      <c r="A63" s="339"/>
      <c r="D63" s="332"/>
      <c r="E63" s="346"/>
      <c r="F63" s="329"/>
      <c r="G63" s="218"/>
      <c r="H63" s="218"/>
      <c r="I63" s="218"/>
      <c r="J63" s="218"/>
      <c r="K63" s="46"/>
      <c r="L63" s="46"/>
      <c r="M63" s="46"/>
      <c r="N63" s="46"/>
      <c r="O63" s="213"/>
      <c r="P63" s="46"/>
    </row>
    <row r="64" spans="1:221" x14ac:dyDescent="0.2">
      <c r="A64" s="363" t="s">
        <v>178</v>
      </c>
      <c r="B64" s="364"/>
      <c r="C64" s="364"/>
      <c r="D64" s="364"/>
      <c r="E64" s="364"/>
      <c r="F64" s="364"/>
      <c r="G64" s="364"/>
      <c r="H64" s="364"/>
      <c r="I64" s="364"/>
      <c r="J64" s="364"/>
      <c r="K64" s="364"/>
      <c r="L64" s="219">
        <f>L30+L62</f>
        <v>0</v>
      </c>
      <c r="M64" s="219">
        <f>M30+M62</f>
        <v>0</v>
      </c>
      <c r="N64" s="219">
        <f>N30+N62</f>
        <v>35.56</v>
      </c>
      <c r="O64" s="219">
        <f>O30+O62</f>
        <v>35.56</v>
      </c>
      <c r="P64" s="219"/>
    </row>
    <row r="65" spans="1:16" x14ac:dyDescent="0.2">
      <c r="A65" s="339"/>
      <c r="B65" s="339"/>
      <c r="C65" s="339"/>
      <c r="D65" s="339"/>
      <c r="E65" s="339"/>
      <c r="F65" s="339"/>
      <c r="G65" s="339"/>
      <c r="H65" s="339"/>
      <c r="I65" s="339"/>
      <c r="J65" s="339"/>
      <c r="K65" s="339"/>
      <c r="L65" s="339"/>
      <c r="M65" s="339"/>
      <c r="N65" s="339"/>
      <c r="O65" s="171"/>
      <c r="P65" s="171"/>
    </row>
    <row r="66" spans="1:16" x14ac:dyDescent="0.2">
      <c r="A66" s="339" t="s">
        <v>191</v>
      </c>
      <c r="B66" s="339"/>
      <c r="C66" s="339"/>
      <c r="D66" s="339"/>
      <c r="E66" s="339"/>
      <c r="F66" s="339"/>
      <c r="G66" s="339"/>
      <c r="H66" s="339"/>
      <c r="I66" s="339"/>
      <c r="J66" s="339"/>
      <c r="K66" s="339"/>
      <c r="L66" s="339"/>
      <c r="M66" s="339"/>
      <c r="N66" s="339"/>
      <c r="O66" s="171">
        <f>O26+O28+O62</f>
        <v>35.56</v>
      </c>
      <c r="P66" s="331">
        <v>40967</v>
      </c>
    </row>
    <row r="67" spans="1:16" x14ac:dyDescent="0.2">
      <c r="A67" s="339"/>
      <c r="B67" s="339"/>
      <c r="C67" s="339"/>
      <c r="D67" s="339"/>
      <c r="E67" s="339"/>
      <c r="F67" s="339"/>
      <c r="G67" s="220"/>
      <c r="H67" s="220"/>
      <c r="I67" s="220"/>
      <c r="J67" s="220"/>
      <c r="K67" s="46"/>
      <c r="L67" s="46"/>
      <c r="M67" s="46"/>
      <c r="N67" s="46"/>
      <c r="O67" s="171"/>
    </row>
    <row r="68" spans="1:16" x14ac:dyDescent="0.2">
      <c r="A68" s="345" t="s">
        <v>115</v>
      </c>
      <c r="B68" s="339"/>
      <c r="C68" s="339"/>
      <c r="D68" s="339"/>
      <c r="E68" s="339"/>
      <c r="F68" s="339"/>
      <c r="G68" s="220"/>
      <c r="H68" s="220"/>
      <c r="I68" s="220"/>
      <c r="J68" s="220"/>
      <c r="K68" s="46"/>
      <c r="L68" s="46"/>
      <c r="M68" s="46"/>
      <c r="N68" s="46"/>
      <c r="O68" s="142">
        <f>MAX($O$64,$O$66)</f>
        <v>35.56</v>
      </c>
    </row>
    <row r="69" spans="1:16" x14ac:dyDescent="0.2">
      <c r="A69" s="339"/>
      <c r="B69" s="339"/>
      <c r="C69" s="339"/>
      <c r="D69" s="339"/>
      <c r="E69" s="339"/>
      <c r="F69" s="339"/>
      <c r="G69" s="220"/>
      <c r="H69" s="220"/>
      <c r="I69" s="220"/>
      <c r="J69" s="220"/>
      <c r="K69" s="46"/>
      <c r="L69" s="46"/>
      <c r="M69" s="46"/>
      <c r="N69" s="46"/>
      <c r="O69" s="171"/>
    </row>
    <row r="70" spans="1:16" x14ac:dyDescent="0.2">
      <c r="A70" s="339"/>
      <c r="B70" s="339"/>
      <c r="C70" s="339"/>
      <c r="D70" s="339"/>
      <c r="E70" s="339"/>
      <c r="F70" s="339"/>
      <c r="G70" s="365" t="s">
        <v>192</v>
      </c>
      <c r="H70" s="220"/>
      <c r="I70" s="339"/>
      <c r="J70" s="220"/>
      <c r="K70" s="46"/>
      <c r="L70" s="366"/>
      <c r="M70" s="366"/>
      <c r="N70" s="366"/>
      <c r="O70" s="366">
        <f>ROUND(IF($C$16&lt;1,0,$O$68/($C$16*100)*10000),2)</f>
        <v>0</v>
      </c>
      <c r="P70" s="339" t="s">
        <v>117</v>
      </c>
    </row>
    <row r="71" spans="1:16" x14ac:dyDescent="0.2">
      <c r="A71" s="339"/>
      <c r="B71" s="339"/>
      <c r="C71" s="339"/>
      <c r="D71" s="339"/>
      <c r="E71" s="339"/>
      <c r="F71" s="339"/>
      <c r="G71" s="367" t="s">
        <v>118</v>
      </c>
      <c r="H71" s="221"/>
      <c r="I71" s="368"/>
      <c r="J71" s="221"/>
      <c r="K71" s="369"/>
      <c r="L71" s="313"/>
      <c r="M71" s="313"/>
      <c r="N71" s="313"/>
      <c r="O71" s="370">
        <f>ROUND(IF($C$16&lt;1,0,(L64)/($C$16*100)*10000),2)</f>
        <v>0</v>
      </c>
      <c r="P71" s="371" t="s">
        <v>117</v>
      </c>
    </row>
    <row r="72" spans="1:16" x14ac:dyDescent="0.2">
      <c r="A72" s="339"/>
      <c r="B72" s="339"/>
      <c r="C72" s="339"/>
      <c r="D72" s="339"/>
      <c r="E72" s="339"/>
      <c r="F72" s="339"/>
      <c r="G72" s="365"/>
      <c r="H72" s="220"/>
      <c r="I72" s="365"/>
      <c r="J72" s="220"/>
      <c r="K72" s="46"/>
      <c r="L72" s="46"/>
      <c r="M72" s="46"/>
      <c r="N72" s="46"/>
      <c r="O72" s="223"/>
      <c r="P72" s="339"/>
    </row>
    <row r="73" spans="1:16" ht="20.25" customHeight="1" x14ac:dyDescent="0.3">
      <c r="B73" s="339"/>
      <c r="C73" s="339"/>
      <c r="D73" s="224" t="s">
        <v>2</v>
      </c>
      <c r="F73" s="329"/>
      <c r="G73" s="225"/>
      <c r="H73" s="226"/>
      <c r="I73" s="213"/>
      <c r="J73" s="226"/>
      <c r="K73" s="339"/>
      <c r="L73" s="339"/>
      <c r="M73" s="339"/>
      <c r="N73" s="213"/>
    </row>
    <row r="74" spans="1:16" x14ac:dyDescent="0.2">
      <c r="A74" s="339"/>
      <c r="B74" s="339"/>
      <c r="C74" s="339"/>
      <c r="D74" s="372"/>
      <c r="F74" s="329"/>
      <c r="G74" s="226"/>
      <c r="H74" s="226"/>
      <c r="I74" s="227"/>
      <c r="J74" s="226"/>
      <c r="K74" s="339"/>
      <c r="L74" s="339"/>
      <c r="M74" s="339"/>
      <c r="N74" s="339"/>
      <c r="O74" s="171"/>
    </row>
    <row r="75" spans="1:16" x14ac:dyDescent="0.2">
      <c r="A75" s="339"/>
      <c r="B75" s="339"/>
      <c r="C75" s="339"/>
      <c r="D75" s="372"/>
      <c r="F75" s="329"/>
      <c r="G75" s="226"/>
      <c r="H75" s="226"/>
      <c r="I75" s="226"/>
      <c r="J75" s="226"/>
      <c r="K75" s="339"/>
      <c r="L75" s="339"/>
      <c r="M75" s="339"/>
      <c r="N75" s="339"/>
      <c r="O75" s="171"/>
    </row>
    <row r="76" spans="1:16" x14ac:dyDescent="0.2">
      <c r="A76" s="345"/>
      <c r="B76" s="339"/>
      <c r="C76" s="339"/>
      <c r="D76" s="339"/>
      <c r="E76" s="339"/>
      <c r="F76" s="339"/>
      <c r="G76" s="339"/>
      <c r="H76" s="339"/>
      <c r="J76" s="339"/>
      <c r="K76" s="339"/>
      <c r="L76" s="171"/>
      <c r="M76" s="171"/>
      <c r="N76" s="171"/>
      <c r="O76" s="142"/>
    </row>
    <row r="77" spans="1:16" x14ac:dyDescent="0.2">
      <c r="B77" s="339"/>
      <c r="C77" s="339"/>
      <c r="D77" s="339"/>
      <c r="E77" s="339"/>
      <c r="F77" s="339"/>
      <c r="G77" s="365"/>
      <c r="H77" s="339"/>
      <c r="I77" s="339"/>
      <c r="J77" s="339"/>
      <c r="K77" s="339"/>
      <c r="L77" s="373"/>
      <c r="M77" s="373"/>
      <c r="N77" s="373"/>
      <c r="O77" s="223"/>
      <c r="P77" s="339"/>
    </row>
    <row r="78" spans="1:16" x14ac:dyDescent="0.2">
      <c r="G78" s="368"/>
      <c r="H78" s="374"/>
      <c r="I78" s="368"/>
      <c r="J78" s="374"/>
      <c r="K78" s="374"/>
      <c r="L78" s="149"/>
      <c r="M78" s="149"/>
      <c r="N78" s="149"/>
      <c r="O78" s="150"/>
      <c r="P78" s="371"/>
    </row>
    <row r="80" spans="1:16" x14ac:dyDescent="0.2">
      <c r="A80" s="465"/>
    </row>
    <row r="81" spans="1:1" x14ac:dyDescent="0.2">
      <c r="A81" s="465"/>
    </row>
    <row r="82" spans="1:1" x14ac:dyDescent="0.2">
      <c r="A82" s="465"/>
    </row>
    <row r="83" spans="1:1" x14ac:dyDescent="0.2">
      <c r="A83" s="465"/>
    </row>
    <row r="84" spans="1:1" x14ac:dyDescent="0.2">
      <c r="A84" s="465"/>
    </row>
    <row r="85" spans="1:1" x14ac:dyDescent="0.2">
      <c r="A85" s="465"/>
    </row>
    <row r="86" spans="1:1" x14ac:dyDescent="0.2">
      <c r="A86" s="465"/>
    </row>
    <row r="87" spans="1:1" x14ac:dyDescent="0.2">
      <c r="A87" s="465"/>
    </row>
    <row r="88" spans="1:1" x14ac:dyDescent="0.2">
      <c r="A88" s="465"/>
    </row>
    <row r="89" spans="1:1" x14ac:dyDescent="0.2">
      <c r="A89" s="465"/>
    </row>
    <row r="90" spans="1:1" x14ac:dyDescent="0.2">
      <c r="A90" s="465"/>
    </row>
    <row r="91" spans="1:1" x14ac:dyDescent="0.2">
      <c r="A91" s="465"/>
    </row>
    <row r="92" spans="1:1" x14ac:dyDescent="0.2">
      <c r="A92" s="465"/>
    </row>
    <row r="93" spans="1:1" x14ac:dyDescent="0.2">
      <c r="A93" s="465"/>
    </row>
    <row r="94" spans="1:1" x14ac:dyDescent="0.2">
      <c r="A94" s="465"/>
    </row>
  </sheetData>
  <sheetProtection algorithmName="SHA-512" hashValue="tL5kfgXCZuCAUnnauypXrOtfRkBYUw4QTjDPCpRz48ils3XTM5I0QtPr9Lt2pUmu16rGcu7xF5xuSVZjVzTQzw==" saltValue="mu03G5NoOa0KJ79EHTgwgQ=="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434" r:id="rId5" name="Button 2">
              <controlPr defaultSize="0" print="0" autoFill="0" autoPict="0" macro="[0]!Info">
                <anchor moveWithCells="1">
                  <from>
                    <xdr:col>15</xdr:col>
                    <xdr:colOff>276225</xdr:colOff>
                    <xdr:row>88</xdr:row>
                    <xdr:rowOff>47625</xdr:rowOff>
                  </from>
                  <to>
                    <xdr:col>16</xdr:col>
                    <xdr:colOff>28575</xdr:colOff>
                    <xdr:row>89</xdr:row>
                    <xdr:rowOff>104775</xdr:rowOff>
                  </to>
                </anchor>
              </controlPr>
            </control>
          </mc:Choice>
        </mc:AlternateContent>
        <mc:AlternateContent xmlns:mc="http://schemas.openxmlformats.org/markup-compatibility/2006">
          <mc:Choice Requires="x14">
            <control shapeId="1843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4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4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5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5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6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6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7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7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8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8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9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9EC91-8A59-4661-A011-3E4DAA493FCA}">
  <sheetPr>
    <pageSetUpPr fitToPage="1"/>
  </sheetPr>
  <dimension ref="A1:A34"/>
  <sheetViews>
    <sheetView showGridLines="0" workbookViewId="0"/>
  </sheetViews>
  <sheetFormatPr defaultColWidth="9.140625" defaultRowHeight="9.9499999999999993" customHeight="1" x14ac:dyDescent="0.2"/>
  <cols>
    <col min="1" max="1" width="130.5703125" style="51" customWidth="1"/>
    <col min="2" max="16384" width="9.140625" style="46"/>
  </cols>
  <sheetData>
    <row r="1" spans="1:1" ht="36" x14ac:dyDescent="0.2">
      <c r="A1" s="45" t="s">
        <v>32</v>
      </c>
    </row>
    <row r="2" spans="1:1" ht="24" x14ac:dyDescent="0.2">
      <c r="A2" s="47" t="s">
        <v>33</v>
      </c>
    </row>
    <row r="3" spans="1:1" ht="9.9499999999999993" customHeight="1" x14ac:dyDescent="0.2">
      <c r="A3" s="48"/>
    </row>
    <row r="4" spans="1:1" ht="24" customHeight="1" x14ac:dyDescent="0.2">
      <c r="A4" s="47" t="s">
        <v>34</v>
      </c>
    </row>
    <row r="5" spans="1:1" ht="9.9499999999999993" customHeight="1" x14ac:dyDescent="0.2">
      <c r="A5" s="48"/>
    </row>
    <row r="6" spans="1:1" ht="12" x14ac:dyDescent="0.2">
      <c r="A6" s="45" t="s">
        <v>35</v>
      </c>
    </row>
    <row r="7" spans="1:1" ht="9.9499999999999993" customHeight="1" x14ac:dyDescent="0.2">
      <c r="A7" s="45"/>
    </row>
    <row r="8" spans="1:1" ht="36" x14ac:dyDescent="0.2">
      <c r="A8" s="45" t="s">
        <v>36</v>
      </c>
    </row>
    <row r="9" spans="1:1" ht="9.9499999999999993" customHeight="1" x14ac:dyDescent="0.2">
      <c r="A9" s="47"/>
    </row>
    <row r="10" spans="1:1" ht="36" customHeight="1" x14ac:dyDescent="0.2">
      <c r="A10" s="45" t="s">
        <v>37</v>
      </c>
    </row>
    <row r="11" spans="1:1" ht="9.6" customHeight="1" x14ac:dyDescent="0.2">
      <c r="A11" s="45"/>
    </row>
    <row r="12" spans="1:1" ht="36" customHeight="1" x14ac:dyDescent="0.2">
      <c r="A12" s="45" t="s">
        <v>38</v>
      </c>
    </row>
    <row r="13" spans="1:1" ht="9.9499999999999993" customHeight="1" x14ac:dyDescent="0.2">
      <c r="A13" s="45"/>
    </row>
    <row r="14" spans="1:1" ht="38.25" customHeight="1" x14ac:dyDescent="0.2">
      <c r="A14" s="45" t="s">
        <v>39</v>
      </c>
    </row>
    <row r="15" spans="1:1" ht="9.9499999999999993" customHeight="1" x14ac:dyDescent="0.2">
      <c r="A15" s="45"/>
    </row>
    <row r="16" spans="1:1" ht="24" x14ac:dyDescent="0.2">
      <c r="A16" s="45" t="s">
        <v>40</v>
      </c>
    </row>
    <row r="17" spans="1:1" ht="9.9499999999999993" customHeight="1" x14ac:dyDescent="0.2">
      <c r="A17" s="45"/>
    </row>
    <row r="18" spans="1:1" ht="24" x14ac:dyDescent="0.2">
      <c r="A18" s="45" t="s">
        <v>41</v>
      </c>
    </row>
    <row r="19" spans="1:1" ht="9.9499999999999993" customHeight="1" x14ac:dyDescent="0.2">
      <c r="A19" s="45"/>
    </row>
    <row r="20" spans="1:1" ht="39.75" customHeight="1" x14ac:dyDescent="0.2">
      <c r="A20" s="45" t="s">
        <v>42</v>
      </c>
    </row>
    <row r="21" spans="1:1" ht="9.9499999999999993" customHeight="1" x14ac:dyDescent="0.2">
      <c r="A21" s="45"/>
    </row>
    <row r="22" spans="1:1" ht="24" x14ac:dyDescent="0.2">
      <c r="A22" s="45" t="s">
        <v>43</v>
      </c>
    </row>
    <row r="23" spans="1:1" ht="9.9499999999999993" customHeight="1" x14ac:dyDescent="0.2">
      <c r="A23" s="45"/>
    </row>
    <row r="24" spans="1:1" ht="36" x14ac:dyDescent="0.2">
      <c r="A24" s="45" t="s">
        <v>44</v>
      </c>
    </row>
    <row r="25" spans="1:1" ht="9.9499999999999993" customHeight="1" x14ac:dyDescent="0.2">
      <c r="A25" s="45"/>
    </row>
    <row r="26" spans="1:1" ht="24" x14ac:dyDescent="0.2">
      <c r="A26" s="45" t="s">
        <v>45</v>
      </c>
    </row>
    <row r="27" spans="1:1" ht="9.9499999999999993" customHeight="1" x14ac:dyDescent="0.2">
      <c r="A27" s="45"/>
    </row>
    <row r="28" spans="1:1" ht="24" x14ac:dyDescent="0.2">
      <c r="A28" s="49" t="s">
        <v>46</v>
      </c>
    </row>
    <row r="29" spans="1:1" ht="12" x14ac:dyDescent="0.2">
      <c r="A29" s="45"/>
    </row>
    <row r="30" spans="1:1" ht="45" customHeight="1" x14ac:dyDescent="0.2">
      <c r="A30" s="45" t="s">
        <v>47</v>
      </c>
    </row>
    <row r="32" spans="1:1" ht="36" customHeight="1" x14ac:dyDescent="0.2">
      <c r="A32" s="45" t="s">
        <v>48</v>
      </c>
    </row>
    <row r="33" spans="1:1" ht="9.9499999999999993" customHeight="1" x14ac:dyDescent="0.2">
      <c r="A33" s="50"/>
    </row>
    <row r="34" spans="1:1" ht="12" x14ac:dyDescent="0.2">
      <c r="A34" s="49" t="s">
        <v>49</v>
      </c>
    </row>
  </sheetData>
  <sheetProtection algorithmName="SHA-512" hashValue="kpRgfhPeAZSX3rKZPCCdgws7E8DIQqorkRaRqdovxQ74A4yV8GN8bPl/CsGKAfcquZwy4pbQqHH4jJSefqeD5A==" saltValue="hQInTLaQIbcZPtSPvj3y+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8CC72-ADE3-483A-92A7-A75946E15184}">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193</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46051</v>
      </c>
      <c r="B6" s="76" t="s">
        <v>194</v>
      </c>
      <c r="C6" s="229"/>
      <c r="D6" s="229"/>
      <c r="E6" s="229"/>
      <c r="F6" s="229"/>
      <c r="G6" s="229"/>
      <c r="H6" s="229"/>
      <c r="I6" s="229"/>
      <c r="J6" s="229"/>
      <c r="K6" s="229"/>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2</v>
      </c>
      <c r="C10" s="63" t="str">
        <f>LOOKUP(B10,R10:AD10,R11:AD11)</f>
        <v>February</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325">
        <f>IF('Customer Info'!$B$19=0,0,ROUND(MAX(ROUND('Customer Info'!$B$19*'GS PRI'!C20,1),ROUND('Customer Info'!$B$20*'GS PRI'!C20,1))/'Customer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325">
        <f>MAX(100,ROUND(1.15*(MAX('Customer Info'!$B$19*'GS PRI'!C20,'Customer Info'!$B$20*'GS PRI'!C20)),1))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2" t="s">
        <v>2</v>
      </c>
      <c r="E21" s="452"/>
      <c r="F21" s="452"/>
      <c r="G21" s="452"/>
      <c r="H21" s="452"/>
      <c r="K21" s="158"/>
      <c r="L21" s="158"/>
      <c r="M21" s="158"/>
      <c r="N21" s="158"/>
      <c r="O21" s="188"/>
    </row>
    <row r="22" spans="1:30" x14ac:dyDescent="0.2">
      <c r="A22" s="158" t="s">
        <v>2</v>
      </c>
      <c r="B22" s="158"/>
      <c r="C22" s="210" t="s">
        <v>2</v>
      </c>
      <c r="D22" s="452" t="s">
        <v>2</v>
      </c>
      <c r="E22" s="452"/>
      <c r="F22" s="452"/>
      <c r="G22" s="452"/>
      <c r="H22" s="452"/>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4" t="s">
        <v>71</v>
      </c>
      <c r="H24" s="445"/>
      <c r="I24" s="445"/>
      <c r="J24" s="446"/>
      <c r="K24" s="163"/>
      <c r="L24" s="447" t="s">
        <v>72</v>
      </c>
      <c r="M24" s="447"/>
      <c r="N24" s="447"/>
      <c r="O24" s="447"/>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75">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45627</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0" x14ac:dyDescent="0.2">
      <c r="A33" s="144"/>
      <c r="D33" s="4"/>
      <c r="E33" s="4"/>
      <c r="K33" s="154"/>
      <c r="L33" s="154"/>
      <c r="M33" s="154"/>
      <c r="N33" s="154"/>
      <c r="O33" s="213"/>
    </row>
    <row r="34" spans="1:220" x14ac:dyDescent="0.2">
      <c r="A34" s="72" t="s">
        <v>84</v>
      </c>
      <c r="D34" s="4">
        <f>IF($C$16&lt;0,0,IF($C$16&gt;833000,833000,$C$16))</f>
        <v>0</v>
      </c>
      <c r="E34" s="152" t="s">
        <v>19</v>
      </c>
      <c r="F34" s="1" t="s">
        <v>80</v>
      </c>
      <c r="G34" s="167"/>
      <c r="H34" s="191"/>
      <c r="I34" s="100">
        <f>'Rider Rates'!$B$4</f>
        <v>5.5215000000000004E-3</v>
      </c>
      <c r="J34" s="214">
        <f>SUM(G34:I34)</f>
        <v>5.5215000000000004E-3</v>
      </c>
      <c r="K34" s="154" t="s">
        <v>85</v>
      </c>
      <c r="L34" s="189"/>
      <c r="M34" s="189"/>
      <c r="N34" s="189">
        <f>ROUND($D34*I34,2)</f>
        <v>0</v>
      </c>
      <c r="O34" s="189">
        <f>SUM(L34:N34)</f>
        <v>0</v>
      </c>
      <c r="P34" s="92">
        <f>'Rider Rates'!$D$4</f>
        <v>46022</v>
      </c>
    </row>
    <row r="35" spans="1:220"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46022</v>
      </c>
    </row>
    <row r="36" spans="1:220"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0"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0"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0"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53" si="0">SUM(L39:N39)</f>
        <v>0</v>
      </c>
      <c r="P39" s="92">
        <f>MAX('Rider Rates'!$D$18,'Rider Rates'!$F$18)</f>
        <v>44531</v>
      </c>
    </row>
    <row r="40" spans="1:220" x14ac:dyDescent="0.2">
      <c r="A40" s="76" t="s">
        <v>93</v>
      </c>
      <c r="B40" s="72"/>
      <c r="C40" s="72"/>
      <c r="D40" s="111">
        <f>'Customer Info'!$B$22+'Customer Info'!$B$23-'Customer Info'!$B$24</f>
        <v>0</v>
      </c>
      <c r="E40" s="97" t="s">
        <v>19</v>
      </c>
      <c r="F40" s="84" t="s">
        <v>80</v>
      </c>
      <c r="G40" s="100">
        <f>'Rider Rates'!B24</f>
        <v>7.4289999999999995E-2</v>
      </c>
      <c r="H40" s="100"/>
      <c r="I40" s="100"/>
      <c r="J40" s="115">
        <f>SUM(G40:H40)</f>
        <v>7.4289999999999995E-2</v>
      </c>
      <c r="K40" s="94" t="s">
        <v>85</v>
      </c>
      <c r="L40" s="89">
        <f>ROUND(D40*G40,2)</f>
        <v>0</v>
      </c>
      <c r="M40" s="89"/>
      <c r="N40" s="89"/>
      <c r="O40" s="89">
        <f t="shared" si="0"/>
        <v>0</v>
      </c>
      <c r="P40" s="92">
        <f>'Rider Rates'!$D$23</f>
        <v>45809</v>
      </c>
    </row>
    <row r="41" spans="1:220" x14ac:dyDescent="0.2">
      <c r="A41" s="72" t="s">
        <v>94</v>
      </c>
      <c r="B41" s="72"/>
      <c r="C41" s="72"/>
      <c r="D41" s="111">
        <f>'Customer Info'!$B$22+'Customer Info'!$B$23-'Customer Info'!$B$24</f>
        <v>0</v>
      </c>
      <c r="E41" s="97" t="s">
        <v>19</v>
      </c>
      <c r="F41" s="84" t="s">
        <v>80</v>
      </c>
      <c r="G41" s="100">
        <f>'Rider Rates'!$B$42</f>
        <v>1.3849999999999999E-2</v>
      </c>
      <c r="H41" s="100"/>
      <c r="I41" s="100"/>
      <c r="J41" s="115">
        <f>SUM(G41:H41)</f>
        <v>1.3849999999999999E-2</v>
      </c>
      <c r="K41" s="94" t="s">
        <v>85</v>
      </c>
      <c r="L41" s="89">
        <f>ROUND(D41*G41,2)</f>
        <v>0</v>
      </c>
      <c r="M41" s="89"/>
      <c r="N41" s="89"/>
      <c r="O41" s="89">
        <f t="shared" si="0"/>
        <v>0</v>
      </c>
      <c r="P41" s="92">
        <f>'Rider Rates'!$D$42</f>
        <v>45809</v>
      </c>
    </row>
    <row r="42" spans="1:220" x14ac:dyDescent="0.2">
      <c r="A42" s="76" t="s">
        <v>95</v>
      </c>
      <c r="B42" s="72"/>
      <c r="C42" s="72"/>
      <c r="D42" s="111">
        <f>'Customer Info'!$B$22+'Customer Info'!$B$23-'Customer Info'!$B$24</f>
        <v>0</v>
      </c>
      <c r="E42" s="97" t="s">
        <v>19</v>
      </c>
      <c r="F42" s="84" t="s">
        <v>80</v>
      </c>
      <c r="G42" s="100">
        <f>'Rider Rates'!$B$49</f>
        <v>2.7588999999999999E-3</v>
      </c>
      <c r="H42" s="100"/>
      <c r="I42" s="100"/>
      <c r="J42" s="115">
        <f>SUM(G42:H42)</f>
        <v>2.7588999999999999E-3</v>
      </c>
      <c r="K42" s="94" t="s">
        <v>85</v>
      </c>
      <c r="L42" s="89">
        <f>ROUND(D42*G42,2)</f>
        <v>0</v>
      </c>
      <c r="M42" s="89"/>
      <c r="N42" s="89"/>
      <c r="O42" s="89">
        <f t="shared" si="0"/>
        <v>0</v>
      </c>
      <c r="P42" s="92">
        <f>'Rider Rates'!$D$49</f>
        <v>46022</v>
      </c>
    </row>
    <row r="43" spans="1:220" x14ac:dyDescent="0.2">
      <c r="A43" s="72" t="s">
        <v>96</v>
      </c>
      <c r="B43" s="72"/>
      <c r="C43" s="72"/>
      <c r="D43" s="4">
        <f>IF($C$16&lt;0,0,IF($C$16&gt;833000,833000,$C$16))</f>
        <v>0</v>
      </c>
      <c r="E43" s="97" t="s">
        <v>19</v>
      </c>
      <c r="F43" s="84" t="s">
        <v>80</v>
      </c>
      <c r="G43" s="100"/>
      <c r="H43" s="100"/>
      <c r="I43" s="100">
        <f>'Rider Rates'!D53</f>
        <v>0</v>
      </c>
      <c r="J43" s="100">
        <f>SUM(G43:I43)</f>
        <v>0</v>
      </c>
      <c r="K43" s="94" t="s">
        <v>85</v>
      </c>
      <c r="L43" s="89"/>
      <c r="M43" s="89"/>
      <c r="N43" s="189">
        <f>D43*J43</f>
        <v>0</v>
      </c>
      <c r="O43" s="89">
        <f t="shared" si="0"/>
        <v>0</v>
      </c>
      <c r="P43" s="92">
        <f>'Rider Rates'!E53</f>
        <v>45883</v>
      </c>
    </row>
    <row r="44" spans="1:220" x14ac:dyDescent="0.2">
      <c r="A44" s="76" t="s">
        <v>97</v>
      </c>
      <c r="B44" s="72"/>
      <c r="C44" s="72"/>
      <c r="D44" s="4">
        <f>IF($C$16&lt;0,0,$C$16)</f>
        <v>0</v>
      </c>
      <c r="E44" s="97" t="s">
        <v>19</v>
      </c>
      <c r="F44" s="84" t="s">
        <v>80</v>
      </c>
      <c r="G44" s="100"/>
      <c r="H44" s="100">
        <f>'Rider Rates'!B60</f>
        <v>4.1980000000000001E-4</v>
      </c>
      <c r="I44" s="100"/>
      <c r="J44" s="100">
        <f>SUM(G44:I44)</f>
        <v>4.1980000000000001E-4</v>
      </c>
      <c r="K44" s="94" t="s">
        <v>85</v>
      </c>
      <c r="L44" s="89"/>
      <c r="M44" s="89">
        <f>ROUND(D44*H44,2)</f>
        <v>0</v>
      </c>
      <c r="N44" s="116"/>
      <c r="O44" s="89">
        <f t="shared" si="0"/>
        <v>0</v>
      </c>
      <c r="P44" s="92">
        <f>'Rider Rates'!$D$59</f>
        <v>45929</v>
      </c>
    </row>
    <row r="45" spans="1:220" x14ac:dyDescent="0.2">
      <c r="A45" s="76" t="s">
        <v>97</v>
      </c>
      <c r="B45" s="72"/>
      <c r="C45" s="72"/>
      <c r="D45" s="349">
        <f>ROUND(MAX(D14,('Customer Info'!B15-100)*0.6,('Customer Info'!B17-100)*0.6),1)</f>
        <v>0</v>
      </c>
      <c r="E45" s="152" t="s">
        <v>211</v>
      </c>
      <c r="F45" s="1" t="s">
        <v>80</v>
      </c>
      <c r="G45" s="100"/>
      <c r="H45" s="90">
        <f>'Rider Rates'!B65</f>
        <v>8.67</v>
      </c>
      <c r="I45" s="100"/>
      <c r="J45" s="90">
        <f>SUM(G45:I45)</f>
        <v>8.67</v>
      </c>
      <c r="K45" s="94" t="s">
        <v>162</v>
      </c>
      <c r="L45" s="89"/>
      <c r="M45" s="89">
        <f>ROUND(D45*H45,2)</f>
        <v>0</v>
      </c>
      <c r="N45" s="116"/>
      <c r="O45" s="89">
        <f t="shared" si="0"/>
        <v>0</v>
      </c>
      <c r="P45" s="92">
        <f>'Rider Rates'!$D$64</f>
        <v>45929</v>
      </c>
    </row>
    <row r="46" spans="1:220" x14ac:dyDescent="0.2">
      <c r="A46" s="76" t="s">
        <v>190</v>
      </c>
      <c r="B46" s="72"/>
      <c r="C46" s="72"/>
      <c r="D46" s="4">
        <f>IF('Customer Info'!C35=TRUE,0,IF($C$16&lt;0,0,$C$16))</f>
        <v>0</v>
      </c>
      <c r="E46" s="97" t="s">
        <v>19</v>
      </c>
      <c r="F46" s="84" t="s">
        <v>80</v>
      </c>
      <c r="G46" s="100"/>
      <c r="H46" s="100"/>
      <c r="I46" s="100">
        <f>'Rider Rates'!$B$73+'Rider Rates'!$C$73</f>
        <v>0</v>
      </c>
      <c r="J46" s="100">
        <f>SUM(G46:I46)</f>
        <v>0</v>
      </c>
      <c r="K46" s="94" t="s">
        <v>85</v>
      </c>
      <c r="L46" s="89"/>
      <c r="M46" s="89"/>
      <c r="N46" s="189">
        <f>ROUND($D$46*'Rider Rates'!$B$73,2)+ROUND($D$46*'Rider Rates'!$C$73,2)</f>
        <v>0</v>
      </c>
      <c r="O46" s="128">
        <f t="shared" si="0"/>
        <v>0</v>
      </c>
      <c r="P46" s="92">
        <f>'Rider Rates'!$D$73</f>
        <v>44531</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190</v>
      </c>
      <c r="B47" s="72"/>
      <c r="C47" s="72"/>
      <c r="D47" s="349">
        <f>IF('Customer Info'!C35=TRUE,0,$D$28)</f>
        <v>0</v>
      </c>
      <c r="E47" s="97" t="s">
        <v>13</v>
      </c>
      <c r="F47" s="84" t="s">
        <v>80</v>
      </c>
      <c r="G47" s="100"/>
      <c r="H47" s="100"/>
      <c r="I47" s="90">
        <f>'Rider Rates'!$B$83</f>
        <v>0</v>
      </c>
      <c r="J47" s="90">
        <f>SUM(G47:I47)</f>
        <v>0</v>
      </c>
      <c r="K47" s="94" t="s">
        <v>85</v>
      </c>
      <c r="L47" s="89"/>
      <c r="M47" s="89"/>
      <c r="N47" s="189">
        <f>ROUND($D47*I47,2)</f>
        <v>0</v>
      </c>
      <c r="O47" s="128">
        <f>SUM(L47:N47)</f>
        <v>0</v>
      </c>
      <c r="P47" s="92">
        <f>'Rider Rates'!$D$83</f>
        <v>45444</v>
      </c>
      <c r="Q47" s="101"/>
      <c r="R47" s="94"/>
      <c r="S47" s="95"/>
      <c r="T47" s="72"/>
      <c r="U47" s="96"/>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100</v>
      </c>
      <c r="B48" s="72"/>
      <c r="C48" s="72"/>
      <c r="D48" s="217">
        <f>$N$30</f>
        <v>138.5</v>
      </c>
      <c r="E48" s="97" t="s">
        <v>92</v>
      </c>
      <c r="F48" s="84" t="s">
        <v>80</v>
      </c>
      <c r="G48" s="117"/>
      <c r="H48" s="118"/>
      <c r="I48" s="119">
        <f>'Rider Rates'!$B$87</f>
        <v>3.5344300000000002E-2</v>
      </c>
      <c r="J48" s="119">
        <f>SUM(H48:I48)</f>
        <v>3.5344300000000002E-2</v>
      </c>
      <c r="K48" s="94"/>
      <c r="L48" s="89"/>
      <c r="M48" s="89"/>
      <c r="N48" s="89">
        <f>ROUND(N$30*I48,2)</f>
        <v>4.9000000000000004</v>
      </c>
      <c r="O48" s="128">
        <f t="shared" si="0"/>
        <v>4.9000000000000004</v>
      </c>
      <c r="P48" s="92">
        <f>'Rider Rates'!$D$87</f>
        <v>45929</v>
      </c>
      <c r="Q48" s="101"/>
      <c r="R48" s="94"/>
      <c r="S48" s="95"/>
      <c r="T48" s="72"/>
      <c r="U48" s="96"/>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101</v>
      </c>
      <c r="B49" s="72"/>
      <c r="C49" s="72"/>
      <c r="D49" s="217">
        <f>$N$30</f>
        <v>138.5</v>
      </c>
      <c r="E49" s="97" t="s">
        <v>92</v>
      </c>
      <c r="F49" s="84" t="s">
        <v>80</v>
      </c>
      <c r="G49" s="120"/>
      <c r="H49" s="85"/>
      <c r="I49" s="119">
        <f>'Rider Rates'!$B$89</f>
        <v>7.8822199999999995E-2</v>
      </c>
      <c r="J49" s="119">
        <f>SUM(H49:I49)</f>
        <v>7.8822199999999995E-2</v>
      </c>
      <c r="K49" s="94"/>
      <c r="L49" s="89"/>
      <c r="M49" s="89"/>
      <c r="N49" s="89">
        <f>ROUND(N$30*I49,2)</f>
        <v>10.92</v>
      </c>
      <c r="O49" s="128">
        <f t="shared" si="0"/>
        <v>10.92</v>
      </c>
      <c r="P49" s="92">
        <f>'Rider Rates'!$D$89</f>
        <v>45987</v>
      </c>
      <c r="Q49" s="101"/>
      <c r="R49" s="94"/>
      <c r="S49" s="95"/>
      <c r="T49" s="72"/>
      <c r="U49" s="96"/>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row>
    <row r="50" spans="1:221" x14ac:dyDescent="0.2">
      <c r="A50" s="76" t="s">
        <v>102</v>
      </c>
      <c r="B50" s="72"/>
      <c r="C50" s="72"/>
      <c r="D50" s="113"/>
      <c r="E50" s="97" t="s">
        <v>55</v>
      </c>
      <c r="F50" s="84"/>
      <c r="G50" s="120"/>
      <c r="H50" s="85"/>
      <c r="I50" s="121">
        <f>'Rider Rates'!$B$93</f>
        <v>21.84</v>
      </c>
      <c r="J50" s="121">
        <f>SUM(G50:I50)</f>
        <v>21.84</v>
      </c>
      <c r="K50" s="94"/>
      <c r="L50" s="89"/>
      <c r="M50" s="89"/>
      <c r="N50" s="89">
        <f>I50</f>
        <v>21.84</v>
      </c>
      <c r="O50" s="89">
        <f>SUM(L50:N50)</f>
        <v>21.84</v>
      </c>
      <c r="P50" s="92">
        <f>'Rider Rates'!$D$93</f>
        <v>46022</v>
      </c>
    </row>
    <row r="51" spans="1:221" x14ac:dyDescent="0.2">
      <c r="A51" s="72" t="s">
        <v>175</v>
      </c>
      <c r="B51" s="72"/>
      <c r="C51" s="72"/>
      <c r="D51" s="4">
        <f>$D$34</f>
        <v>0</v>
      </c>
      <c r="E51" s="97" t="s">
        <v>19</v>
      </c>
      <c r="F51" s="84" t="s">
        <v>80</v>
      </c>
      <c r="G51" s="100"/>
      <c r="H51" s="100"/>
      <c r="I51" s="100"/>
      <c r="J51" s="100">
        <f>'Rider Rates'!$B$98</f>
        <v>0</v>
      </c>
      <c r="K51" s="94" t="s">
        <v>85</v>
      </c>
      <c r="L51" s="89"/>
      <c r="M51" s="89"/>
      <c r="N51" s="189"/>
      <c r="O51" s="89">
        <f>ROUND($D51*('Rider Rates'!B$98),2)</f>
        <v>0</v>
      </c>
      <c r="P51" s="92">
        <f>'Rider Rates'!$D$98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176</v>
      </c>
      <c r="B52" s="72"/>
      <c r="C52" s="72"/>
      <c r="D52" s="4">
        <f>$D$35</f>
        <v>0</v>
      </c>
      <c r="E52" s="97" t="s">
        <v>19</v>
      </c>
      <c r="F52" s="84" t="s">
        <v>80</v>
      </c>
      <c r="G52" s="100"/>
      <c r="H52" s="100"/>
      <c r="I52" s="100"/>
      <c r="J52" s="100">
        <f>'Rider Rates'!$B$99</f>
        <v>0</v>
      </c>
      <c r="K52" s="94" t="s">
        <v>85</v>
      </c>
      <c r="L52" s="89"/>
      <c r="M52" s="89"/>
      <c r="N52" s="189"/>
      <c r="O52" s="89">
        <f>ROUND($D52*('Rider Rates'!B$99),2)</f>
        <v>0</v>
      </c>
      <c r="P52" s="92">
        <f>'Rider Rates'!$D$99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104</v>
      </c>
      <c r="B53" s="72"/>
      <c r="C53" s="72"/>
      <c r="D53" s="217">
        <f>$N$30</f>
        <v>138.5</v>
      </c>
      <c r="E53" s="97" t="s">
        <v>92</v>
      </c>
      <c r="F53" s="84" t="s">
        <v>80</v>
      </c>
      <c r="G53" s="120"/>
      <c r="H53" s="85"/>
      <c r="I53" s="119">
        <f>'Rider Rates'!$B$107</f>
        <v>0.24079249999999999</v>
      </c>
      <c r="J53" s="119">
        <f>SUM(H53:I53)</f>
        <v>0.24079249999999999</v>
      </c>
      <c r="K53" s="94"/>
      <c r="L53" s="89"/>
      <c r="M53" s="89"/>
      <c r="N53" s="89">
        <f>ROUND(N$30*I53,2)</f>
        <v>33.35</v>
      </c>
      <c r="O53" s="89">
        <f t="shared" si="0"/>
        <v>33.35</v>
      </c>
      <c r="P53" s="92">
        <f>'Rider Rates'!$D$107</f>
        <v>45987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105</v>
      </c>
      <c r="B54" s="72"/>
      <c r="C54" s="72"/>
      <c r="D54" s="113"/>
      <c r="E54" s="97" t="s">
        <v>55</v>
      </c>
      <c r="F54" s="84"/>
      <c r="G54" s="120"/>
      <c r="H54" s="85"/>
      <c r="I54" s="123">
        <f>'Rider Rates'!B123</f>
        <v>0.99</v>
      </c>
      <c r="J54" s="121">
        <f>SUM(G54:I54)</f>
        <v>0.99</v>
      </c>
      <c r="K54" s="94"/>
      <c r="L54" s="89"/>
      <c r="M54" s="89"/>
      <c r="N54" s="125">
        <f>I54</f>
        <v>0.99</v>
      </c>
      <c r="O54" s="89">
        <f t="shared" ref="O54:O58" si="1">SUM(L54:N54)</f>
        <v>0.99</v>
      </c>
      <c r="P54" s="92">
        <f>'Rider Rates'!D123</f>
        <v>45958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106</v>
      </c>
      <c r="B55" s="72"/>
      <c r="C55" s="72"/>
      <c r="D55" s="111">
        <f>IF('Customer Info'!$C$33=TRUE,0,'Customer Info'!$B$22+'Customer Info'!$B$23-'Customer Info'!$B$24)</f>
        <v>0</v>
      </c>
      <c r="E55" s="97" t="s">
        <v>19</v>
      </c>
      <c r="F55" s="84" t="s">
        <v>80</v>
      </c>
      <c r="G55" s="100">
        <f>'Rider Rates'!$B$114</f>
        <v>3.7618E-3</v>
      </c>
      <c r="H55" s="100"/>
      <c r="I55" s="119"/>
      <c r="J55" s="115">
        <f>SUM(G55:H55)</f>
        <v>3.7618E-3</v>
      </c>
      <c r="K55" s="94" t="s">
        <v>85</v>
      </c>
      <c r="L55" s="89">
        <f>ROUND(D55*G55,2)</f>
        <v>0</v>
      </c>
      <c r="M55" s="89"/>
      <c r="N55" s="89"/>
      <c r="O55" s="89">
        <f t="shared" si="1"/>
        <v>0</v>
      </c>
      <c r="P55" s="92">
        <f>'Rider Rates'!$D$114</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6" t="s">
        <v>107</v>
      </c>
      <c r="B56" s="72"/>
      <c r="C56" s="72"/>
      <c r="D56" s="4">
        <f>IF($C$16&lt;1,0,$C$16)</f>
        <v>0</v>
      </c>
      <c r="E56" s="97" t="s">
        <v>19</v>
      </c>
      <c r="F56" s="126" t="s">
        <v>80</v>
      </c>
      <c r="G56" s="99"/>
      <c r="H56" s="99"/>
      <c r="I56" s="183">
        <f>'Rider Rates'!B119</f>
        <v>0</v>
      </c>
      <c r="J56" s="183">
        <f>SUM(G56:I56)</f>
        <v>0</v>
      </c>
      <c r="K56" s="94" t="s">
        <v>85</v>
      </c>
      <c r="L56" s="89"/>
      <c r="M56" s="89"/>
      <c r="N56" s="89">
        <f>D56*I56</f>
        <v>0</v>
      </c>
      <c r="O56" s="89">
        <f t="shared" si="1"/>
        <v>0</v>
      </c>
      <c r="P56" s="92">
        <f>'Rider Rates'!D119</f>
        <v>45657</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166</v>
      </c>
      <c r="B57" s="72"/>
      <c r="C57" s="72"/>
      <c r="D57" s="111">
        <f>IF(C16&lt;0,0,IF(C16&gt;833000,833000,C16))</f>
        <v>0</v>
      </c>
      <c r="E57" s="97" t="s">
        <v>19</v>
      </c>
      <c r="F57" s="84" t="s">
        <v>80</v>
      </c>
      <c r="G57" s="195"/>
      <c r="H57" s="195"/>
      <c r="I57" s="195">
        <f>'Rider Rates'!$B$127</f>
        <v>0</v>
      </c>
      <c r="J57" s="195">
        <f>SUM(G57:I57)</f>
        <v>0</v>
      </c>
      <c r="K57" s="94" t="s">
        <v>85</v>
      </c>
      <c r="L57" s="196"/>
      <c r="M57" s="196"/>
      <c r="N57" s="196">
        <f>IF(D57*J57&gt;'Rider Rates'!$C$127,'Rider Rates'!$C$127,D57*J57)</f>
        <v>0</v>
      </c>
      <c r="O57" s="196">
        <f t="shared" si="1"/>
        <v>0</v>
      </c>
      <c r="P57" s="129">
        <f>'Rider Rates'!$E$127</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167</v>
      </c>
      <c r="B58" s="72"/>
      <c r="C58" s="72"/>
      <c r="D58" s="4">
        <f>IF(C16&gt;833000,C16-833000,0)</f>
        <v>0</v>
      </c>
      <c r="E58" s="97" t="s">
        <v>19</v>
      </c>
      <c r="F58" s="84" t="s">
        <v>80</v>
      </c>
      <c r="G58" s="195"/>
      <c r="H58" s="195"/>
      <c r="I58" s="195">
        <f>'Rider Rates'!$B$128</f>
        <v>0</v>
      </c>
      <c r="J58" s="195">
        <f>SUM(G58:I58)</f>
        <v>0</v>
      </c>
      <c r="K58" s="94" t="s">
        <v>85</v>
      </c>
      <c r="L58" s="196"/>
      <c r="M58" s="196"/>
      <c r="N58" s="196">
        <f>D58*J58</f>
        <v>0</v>
      </c>
      <c r="O58" s="196">
        <f t="shared" si="1"/>
        <v>0</v>
      </c>
      <c r="P58" s="129">
        <f>'Rider Rates'!$E$128</f>
        <v>45883</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109</v>
      </c>
      <c r="B59" s="72"/>
      <c r="C59" s="72"/>
      <c r="D59" s="111">
        <f>D16</f>
        <v>0</v>
      </c>
      <c r="E59" s="97" t="s">
        <v>19</v>
      </c>
      <c r="F59" s="126" t="s">
        <v>80</v>
      </c>
      <c r="G59" s="100"/>
      <c r="H59" s="100"/>
      <c r="I59" s="100">
        <f>'Rider Rates'!$B$134</f>
        <v>0</v>
      </c>
      <c r="J59" s="115">
        <f>SUM(G59:I59)</f>
        <v>0</v>
      </c>
      <c r="K59" s="94" t="s">
        <v>85</v>
      </c>
      <c r="L59" s="89"/>
      <c r="M59" s="89"/>
      <c r="N59" s="89">
        <f>D59*J59</f>
        <v>0</v>
      </c>
      <c r="O59" s="89">
        <f>SUM(L59:N59)</f>
        <v>0</v>
      </c>
      <c r="P59" s="92">
        <f>'Rider Rates'!$D$132</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110</v>
      </c>
      <c r="B60" s="72"/>
      <c r="C60" s="72"/>
      <c r="D60" s="111"/>
      <c r="E60" s="97" t="s">
        <v>55</v>
      </c>
      <c r="F60" s="84" t="s">
        <v>80</v>
      </c>
      <c r="G60" s="127"/>
      <c r="H60" s="127"/>
      <c r="I60" s="127">
        <f>'Rider Rates'!$B$139</f>
        <v>0</v>
      </c>
      <c r="J60" s="127">
        <f>SUM(G60:I60)</f>
        <v>0</v>
      </c>
      <c r="K60" s="94"/>
      <c r="L60" s="128"/>
      <c r="M60" s="128"/>
      <c r="N60" s="128">
        <f>J60</f>
        <v>0</v>
      </c>
      <c r="O60" s="128">
        <f>SUM(L60:N60)</f>
        <v>0</v>
      </c>
      <c r="P60" s="129">
        <f>'Rider Rates'!$D$139</f>
        <v>44531</v>
      </c>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t="s">
        <v>111</v>
      </c>
      <c r="B61" s="72"/>
      <c r="C61" s="72"/>
      <c r="D61" s="111"/>
      <c r="E61" s="97"/>
      <c r="F61" s="84"/>
      <c r="G61" s="127"/>
      <c r="H61" s="127"/>
      <c r="I61" s="127"/>
      <c r="J61" s="127"/>
      <c r="K61" s="94"/>
      <c r="L61" s="128"/>
      <c r="M61" s="128"/>
      <c r="N61" s="128"/>
      <c r="O61" s="128"/>
      <c r="P61" s="129"/>
      <c r="Q61" s="84"/>
      <c r="R61" s="101"/>
      <c r="S61" s="94"/>
      <c r="T61" s="95"/>
      <c r="U61" s="72"/>
      <c r="V61" s="96"/>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30" t="s">
        <v>112</v>
      </c>
      <c r="B62" s="69"/>
      <c r="C62" s="69"/>
      <c r="D62" s="131"/>
      <c r="E62" s="132"/>
      <c r="F62" s="133"/>
      <c r="G62" s="133"/>
      <c r="H62" s="133"/>
      <c r="I62" s="133"/>
      <c r="J62" s="133"/>
      <c r="K62" s="134"/>
      <c r="L62" s="105">
        <f>SUM(L34:L61)</f>
        <v>0</v>
      </c>
      <c r="M62" s="105">
        <f>SUM(M34:M61)</f>
        <v>0</v>
      </c>
      <c r="N62" s="105">
        <f>SUM(N34:N61)</f>
        <v>71.999999999999986</v>
      </c>
      <c r="O62" s="105">
        <f>SUM(O34:O61)</f>
        <v>71.999999999999986</v>
      </c>
      <c r="P62" s="135"/>
    </row>
    <row r="63" spans="1:221" x14ac:dyDescent="0.2">
      <c r="A63" s="144"/>
      <c r="D63" s="4"/>
      <c r="E63" s="152"/>
      <c r="F63" s="1"/>
      <c r="G63" s="218"/>
      <c r="H63" s="218"/>
      <c r="I63" s="218"/>
      <c r="J63" s="218"/>
      <c r="K63" s="154"/>
      <c r="L63" s="154"/>
      <c r="M63" s="154"/>
      <c r="N63" s="154"/>
      <c r="O63" s="213"/>
      <c r="P63" s="154"/>
    </row>
    <row r="64" spans="1:221" x14ac:dyDescent="0.2">
      <c r="A64" s="204" t="s">
        <v>178</v>
      </c>
      <c r="B64" s="186"/>
      <c r="C64" s="186"/>
      <c r="D64" s="186"/>
      <c r="E64" s="186"/>
      <c r="F64" s="186"/>
      <c r="G64" s="186"/>
      <c r="H64" s="186"/>
      <c r="I64" s="186"/>
      <c r="J64" s="186"/>
      <c r="K64" s="186"/>
      <c r="L64" s="219">
        <f>L30+L62</f>
        <v>0</v>
      </c>
      <c r="M64" s="219">
        <f>M30+M62</f>
        <v>0</v>
      </c>
      <c r="N64" s="219">
        <f>N30+N62</f>
        <v>210.5</v>
      </c>
      <c r="O64" s="219">
        <f>O30+O62</f>
        <v>210.5</v>
      </c>
      <c r="P64" s="219"/>
    </row>
    <row r="65" spans="1:16" x14ac:dyDescent="0.2">
      <c r="A65" s="144"/>
      <c r="B65" s="144"/>
      <c r="C65" s="144"/>
      <c r="D65" s="144"/>
      <c r="E65" s="144"/>
      <c r="F65" s="144"/>
      <c r="G65" s="144"/>
      <c r="H65" s="144"/>
      <c r="I65" s="144"/>
      <c r="J65" s="144"/>
      <c r="K65" s="144"/>
      <c r="L65" s="144"/>
      <c r="M65" s="144"/>
      <c r="N65" s="144"/>
      <c r="O65" s="171"/>
      <c r="P65" s="171"/>
    </row>
    <row r="66" spans="1:16" x14ac:dyDescent="0.2">
      <c r="A66" s="144" t="s">
        <v>191</v>
      </c>
      <c r="B66" s="144"/>
      <c r="C66" s="144"/>
      <c r="D66" s="144"/>
      <c r="E66" s="144"/>
      <c r="F66" s="144"/>
      <c r="G66" s="144"/>
      <c r="H66" s="144"/>
      <c r="I66" s="144"/>
      <c r="J66" s="144"/>
      <c r="K66" s="144"/>
      <c r="L66" s="144"/>
      <c r="M66" s="144"/>
      <c r="N66" s="144"/>
      <c r="O66" s="171">
        <f>O26+O28+O62</f>
        <v>210.5</v>
      </c>
      <c r="P66" s="92">
        <v>40967</v>
      </c>
    </row>
    <row r="67" spans="1:16" x14ac:dyDescent="0.2">
      <c r="A67" s="144"/>
      <c r="B67" s="144"/>
      <c r="C67" s="144"/>
      <c r="D67" s="144"/>
      <c r="E67" s="144"/>
      <c r="F67" s="144"/>
      <c r="G67" s="220"/>
      <c r="H67" s="220"/>
      <c r="I67" s="220"/>
      <c r="J67" s="220"/>
      <c r="K67" s="154"/>
      <c r="L67" s="154"/>
      <c r="M67" s="154"/>
      <c r="N67" s="154"/>
      <c r="O67" s="171"/>
    </row>
    <row r="68" spans="1:16" x14ac:dyDescent="0.2">
      <c r="A68" s="155" t="s">
        <v>115</v>
      </c>
      <c r="B68" s="144"/>
      <c r="C68" s="144"/>
      <c r="D68" s="144"/>
      <c r="E68" s="144"/>
      <c r="F68" s="144"/>
      <c r="G68" s="220"/>
      <c r="H68" s="220"/>
      <c r="I68" s="220"/>
      <c r="J68" s="220"/>
      <c r="K68" s="154"/>
      <c r="L68" s="154"/>
      <c r="M68" s="154"/>
      <c r="N68" s="154"/>
      <c r="O68" s="142">
        <f>MAX($O$64,$O$66)</f>
        <v>210.5</v>
      </c>
    </row>
    <row r="69" spans="1:16" x14ac:dyDescent="0.2">
      <c r="A69" s="144"/>
      <c r="B69" s="144"/>
      <c r="C69" s="144"/>
      <c r="D69" s="144"/>
      <c r="E69" s="144"/>
      <c r="F69" s="144"/>
      <c r="G69" s="220"/>
      <c r="H69" s="220"/>
      <c r="I69" s="220"/>
      <c r="J69" s="220"/>
      <c r="K69" s="154"/>
      <c r="L69" s="154"/>
      <c r="M69" s="154"/>
      <c r="N69" s="154"/>
      <c r="O69" s="171"/>
    </row>
    <row r="70" spans="1:16" x14ac:dyDescent="0.2">
      <c r="A70" s="144"/>
      <c r="B70" s="144"/>
      <c r="C70" s="144"/>
      <c r="D70" s="144"/>
      <c r="E70" s="144"/>
      <c r="F70" s="144"/>
      <c r="G70" s="153" t="s">
        <v>192</v>
      </c>
      <c r="H70" s="220"/>
      <c r="I70" s="144"/>
      <c r="J70" s="220"/>
      <c r="K70" s="154"/>
      <c r="L70" s="143"/>
      <c r="M70" s="143"/>
      <c r="N70" s="143"/>
      <c r="O70" s="143">
        <f>ROUND(IF($C$16&lt;1,0,$O$68/($C$16*100)*10000),2)</f>
        <v>0</v>
      </c>
      <c r="P70" s="144" t="s">
        <v>117</v>
      </c>
    </row>
    <row r="71" spans="1:16" x14ac:dyDescent="0.2">
      <c r="A71" s="144"/>
      <c r="B71" s="144"/>
      <c r="C71" s="144"/>
      <c r="D71" s="144"/>
      <c r="E71" s="144"/>
      <c r="F71" s="144"/>
      <c r="G71" s="146" t="s">
        <v>118</v>
      </c>
      <c r="H71" s="221"/>
      <c r="I71" s="64"/>
      <c r="J71" s="221"/>
      <c r="K71" s="222"/>
      <c r="L71" s="72"/>
      <c r="M71" s="72"/>
      <c r="N71" s="72"/>
      <c r="O71" s="147">
        <f>ROUND(IF($C$16&lt;1,0,(L64)/($C$16*100)*10000),2)</f>
        <v>0</v>
      </c>
      <c r="P71" s="59" t="s">
        <v>117</v>
      </c>
    </row>
    <row r="72" spans="1:16" x14ac:dyDescent="0.2">
      <c r="A72" s="144"/>
      <c r="B72" s="144"/>
      <c r="C72" s="144"/>
      <c r="D72" s="144"/>
      <c r="E72" s="144"/>
      <c r="F72" s="144"/>
      <c r="G72" s="153"/>
      <c r="H72" s="220"/>
      <c r="I72" s="153"/>
      <c r="J72" s="220"/>
      <c r="K72" s="154"/>
      <c r="L72" s="154"/>
      <c r="M72" s="154"/>
      <c r="N72" s="154"/>
      <c r="O72" s="223"/>
      <c r="P72" s="144"/>
    </row>
    <row r="73" spans="1:16" ht="20.25" customHeight="1" x14ac:dyDescent="0.3">
      <c r="A73" s="44"/>
      <c r="B73" s="144"/>
      <c r="C73" s="144"/>
      <c r="D73" s="224" t="str">
        <f>IF('Customer Info'!$C$33=TRUE,"Notice: Billing Charge does not include Self Assessed KWH Tax"," ")</f>
        <v xml:space="preserve"> </v>
      </c>
      <c r="E73" s="44"/>
      <c r="F73" s="1"/>
      <c r="G73" s="225"/>
      <c r="H73" s="226"/>
      <c r="I73" s="213"/>
      <c r="J73" s="226"/>
      <c r="K73" s="144"/>
      <c r="L73" s="144"/>
      <c r="M73" s="144"/>
      <c r="N73" s="213"/>
    </row>
    <row r="74" spans="1:16" x14ac:dyDescent="0.2">
      <c r="A74" s="144"/>
      <c r="B74" s="144"/>
      <c r="C74" s="144"/>
      <c r="D74" s="174"/>
      <c r="E74" s="44"/>
      <c r="F74" s="1"/>
      <c r="G74" s="226"/>
      <c r="H74" s="226"/>
      <c r="I74" s="227"/>
      <c r="J74" s="226"/>
      <c r="K74" s="144"/>
      <c r="L74" s="144"/>
      <c r="M74" s="144"/>
      <c r="N74" s="144"/>
      <c r="O74" s="171"/>
    </row>
    <row r="75" spans="1:16" x14ac:dyDescent="0.2">
      <c r="A75" s="144"/>
      <c r="B75" s="144"/>
      <c r="C75" s="144"/>
      <c r="D75" s="174"/>
      <c r="E75" s="44"/>
      <c r="F75" s="1"/>
      <c r="G75" s="226"/>
      <c r="H75" s="226"/>
      <c r="I75" s="226"/>
      <c r="J75" s="226"/>
      <c r="K75" s="144"/>
      <c r="L75" s="144"/>
      <c r="M75" s="144"/>
      <c r="N75" s="144"/>
      <c r="O75" s="171"/>
    </row>
    <row r="76" spans="1:16" x14ac:dyDescent="0.2">
      <c r="A76" s="155"/>
      <c r="B76" s="144"/>
      <c r="C76" s="144"/>
      <c r="D76" s="144"/>
      <c r="E76" s="144"/>
      <c r="F76" s="144"/>
      <c r="G76" s="144"/>
      <c r="H76" s="144"/>
      <c r="J76" s="144"/>
      <c r="K76" s="144"/>
      <c r="L76" s="171"/>
      <c r="M76" s="171"/>
      <c r="N76" s="171"/>
      <c r="O76" s="142"/>
    </row>
    <row r="77" spans="1:16" x14ac:dyDescent="0.2">
      <c r="B77" s="144"/>
      <c r="C77" s="144"/>
      <c r="D77" s="144"/>
      <c r="E77" s="144"/>
      <c r="F77" s="144"/>
      <c r="G77" s="153"/>
      <c r="H77" s="144"/>
      <c r="I77" s="144"/>
      <c r="J77" s="144"/>
      <c r="K77" s="144"/>
      <c r="L77" s="228"/>
      <c r="M77" s="228"/>
      <c r="N77" s="228"/>
      <c r="O77" s="223"/>
      <c r="P77" s="144"/>
    </row>
    <row r="78" spans="1:16" x14ac:dyDescent="0.2">
      <c r="G78" s="64"/>
      <c r="H78" s="148"/>
      <c r="I78" s="64"/>
      <c r="J78" s="148"/>
      <c r="K78" s="148"/>
      <c r="L78" s="149"/>
      <c r="M78" s="149"/>
      <c r="N78" s="149"/>
      <c r="O78" s="150"/>
      <c r="P78" s="59"/>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row r="89" spans="1:1" x14ac:dyDescent="0.2">
      <c r="A89" s="431"/>
    </row>
    <row r="90" spans="1:1" x14ac:dyDescent="0.2">
      <c r="A90" s="431"/>
    </row>
    <row r="91" spans="1:1" x14ac:dyDescent="0.2">
      <c r="A91" s="431"/>
    </row>
    <row r="92" spans="1:1" x14ac:dyDescent="0.2">
      <c r="A92" s="431"/>
    </row>
    <row r="93" spans="1:1" x14ac:dyDescent="0.2">
      <c r="A93" s="431"/>
    </row>
    <row r="94" spans="1:1" x14ac:dyDescent="0.2">
      <c r="A94" s="431"/>
    </row>
  </sheetData>
  <sheetProtection algorithmName="SHA-512" hashValue="l7USluZbWNHsuPqGQ7axINnrKkznVLa0U7JghbN3x4kB8KvjXHR6fbVAM4J2ePYvPAotA1Lb1YHlsIgHdlqg/g==" saltValue="Xaq1aw8fEg45yUNmaVqy5g=="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9458"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1945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6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6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7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7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8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8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9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9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0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0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1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1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CC774-5834-452D-B535-8E8A123C1BEC}">
  <sheetPr>
    <pageSetUpPr fitToPage="1"/>
  </sheetPr>
  <dimension ref="A1:IV93"/>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212</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46051</v>
      </c>
      <c r="B6" s="76" t="s">
        <v>213</v>
      </c>
      <c r="C6" s="229"/>
      <c r="D6" s="229"/>
      <c r="E6" s="229"/>
      <c r="F6" s="229"/>
      <c r="G6" s="229"/>
      <c r="H6" s="229"/>
      <c r="I6" s="229"/>
      <c r="J6" s="229"/>
      <c r="K6" s="229"/>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2</v>
      </c>
      <c r="C10" s="63" t="str">
        <f>LOOKUP(B10,R10:AD10,R11:AD11)</f>
        <v>February</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2" x14ac:dyDescent="0.2">
      <c r="A17" s="158" t="s">
        <v>214</v>
      </c>
      <c r="B17" s="158"/>
      <c r="C17" s="159">
        <f>'Customer Info'!$B$27</f>
        <v>0</v>
      </c>
      <c r="D17" s="159">
        <f>C17*C19</f>
        <v>0</v>
      </c>
      <c r="E17" s="158" t="s">
        <v>215</v>
      </c>
      <c r="F17" s="160"/>
      <c r="K17" s="158"/>
      <c r="L17" s="158"/>
      <c r="M17" s="158"/>
      <c r="N17" s="158"/>
    </row>
    <row r="18" spans="1:32" x14ac:dyDescent="0.2">
      <c r="A18" s="158" t="s">
        <v>216</v>
      </c>
      <c r="B18" s="158"/>
      <c r="C18" s="159"/>
      <c r="D18" s="159">
        <f>IF((D17-(ROUND(MAX(D14,D15)*0.5,1)))&lt;0,0,(D17-(ROUND(MAX(D14,D15)*0.5,1))))</f>
        <v>0</v>
      </c>
      <c r="E18" s="158" t="s">
        <v>217</v>
      </c>
      <c r="F18" s="160"/>
      <c r="K18" s="158"/>
      <c r="L18" s="158"/>
      <c r="M18" s="158"/>
      <c r="N18" s="158"/>
    </row>
    <row r="19" spans="1:32"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2" x14ac:dyDescent="0.2">
      <c r="A20" s="158" t="s">
        <v>2</v>
      </c>
      <c r="B20" s="158"/>
      <c r="C20" s="210" t="s">
        <v>2</v>
      </c>
      <c r="D20" s="452" t="s">
        <v>2</v>
      </c>
      <c r="E20" s="452"/>
      <c r="F20" s="452"/>
      <c r="G20" s="452"/>
      <c r="H20" s="452"/>
      <c r="K20" s="158"/>
      <c r="L20" s="158"/>
      <c r="M20" s="158"/>
      <c r="N20" s="158"/>
      <c r="O20" s="188"/>
    </row>
    <row r="21" spans="1:32" x14ac:dyDescent="0.2">
      <c r="A21" s="158" t="s">
        <v>2</v>
      </c>
      <c r="B21" s="158"/>
      <c r="C21" s="210" t="s">
        <v>2</v>
      </c>
      <c r="D21" s="452" t="s">
        <v>2</v>
      </c>
      <c r="E21" s="452"/>
      <c r="F21" s="452"/>
      <c r="G21" s="452"/>
      <c r="H21" s="452"/>
      <c r="I21" s="57"/>
      <c r="J21" s="57"/>
      <c r="K21" s="158"/>
      <c r="L21" s="158"/>
      <c r="M21" s="158"/>
      <c r="N21" s="158"/>
      <c r="O21" s="188"/>
    </row>
    <row r="22" spans="1:32" x14ac:dyDescent="0.2">
      <c r="A22" s="158"/>
      <c r="B22" s="158"/>
      <c r="C22" s="160"/>
      <c r="D22" s="160"/>
      <c r="E22" s="160"/>
      <c r="F22" s="160"/>
      <c r="G22" s="57"/>
      <c r="H22" s="57"/>
      <c r="I22" s="57"/>
      <c r="J22" s="57"/>
      <c r="K22" s="158"/>
      <c r="L22" s="158"/>
      <c r="M22" s="158"/>
      <c r="N22" s="158"/>
      <c r="O22" s="158"/>
    </row>
    <row r="23" spans="1:32" x14ac:dyDescent="0.2">
      <c r="A23" s="162" t="s">
        <v>70</v>
      </c>
      <c r="B23" s="163"/>
      <c r="C23" s="163"/>
      <c r="D23" s="163"/>
      <c r="E23" s="163"/>
      <c r="F23" s="163"/>
      <c r="G23" s="444" t="s">
        <v>71</v>
      </c>
      <c r="H23" s="445"/>
      <c r="I23" s="445"/>
      <c r="J23" s="446"/>
      <c r="K23" s="163"/>
      <c r="L23" s="447" t="s">
        <v>72</v>
      </c>
      <c r="M23" s="447"/>
      <c r="N23" s="447"/>
      <c r="O23" s="447"/>
    </row>
    <row r="24" spans="1:32" x14ac:dyDescent="0.2">
      <c r="G24" s="164" t="s">
        <v>73</v>
      </c>
      <c r="H24" s="164" t="s">
        <v>74</v>
      </c>
      <c r="I24" s="164" t="s">
        <v>75</v>
      </c>
      <c r="J24" s="118" t="s">
        <v>76</v>
      </c>
      <c r="L24" s="165" t="s">
        <v>73</v>
      </c>
      <c r="M24" s="165" t="s">
        <v>74</v>
      </c>
      <c r="N24" s="165" t="s">
        <v>75</v>
      </c>
      <c r="O24" s="165" t="s">
        <v>76</v>
      </c>
      <c r="P24" s="166" t="s">
        <v>77</v>
      </c>
    </row>
    <row r="25" spans="1:32" x14ac:dyDescent="0.2">
      <c r="A25" t="s">
        <v>78</v>
      </c>
      <c r="G25" s="189"/>
      <c r="H25" s="189"/>
      <c r="I25" s="189">
        <f>IF(D14&gt;2000,3600,825)</f>
        <v>825</v>
      </c>
      <c r="J25" s="189">
        <f>SUM(G25:I25)</f>
        <v>825</v>
      </c>
      <c r="L25" s="190"/>
      <c r="M25" s="190"/>
      <c r="N25" s="190">
        <f>I25</f>
        <v>825</v>
      </c>
      <c r="O25" s="128">
        <f>SUM(L25:N25)</f>
        <v>825</v>
      </c>
      <c r="P25" s="92">
        <v>44531</v>
      </c>
    </row>
    <row r="26" spans="1:32" x14ac:dyDescent="0.2">
      <c r="A26" t="s">
        <v>165</v>
      </c>
      <c r="D26" s="4">
        <f>D16</f>
        <v>0</v>
      </c>
      <c r="E26" s="97" t="s">
        <v>19</v>
      </c>
      <c r="F26" s="84" t="s">
        <v>80</v>
      </c>
      <c r="G26" s="191"/>
      <c r="H26" s="189"/>
      <c r="I26" s="189"/>
      <c r="J26" s="191"/>
      <c r="K26" s="94" t="s">
        <v>85</v>
      </c>
      <c r="L26" s="189"/>
      <c r="M26" s="190"/>
      <c r="N26" s="189"/>
      <c r="O26" s="128"/>
      <c r="P26" s="92"/>
    </row>
    <row r="27" spans="1:32" x14ac:dyDescent="0.2">
      <c r="A27" t="s">
        <v>208</v>
      </c>
      <c r="D27" s="375">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c r="AF27" s="375"/>
    </row>
    <row r="28" spans="1:32"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c r="AF28" s="375"/>
    </row>
    <row r="29" spans="1:32" x14ac:dyDescent="0.2">
      <c r="A29" s="144" t="s">
        <v>82</v>
      </c>
      <c r="B29" s="144"/>
      <c r="C29" s="144"/>
      <c r="D29" s="170"/>
      <c r="E29" s="170"/>
      <c r="F29" s="144"/>
      <c r="G29" s="144"/>
      <c r="H29" s="144"/>
      <c r="I29" s="144"/>
      <c r="J29" s="144"/>
      <c r="K29" s="172"/>
      <c r="L29" s="171"/>
      <c r="M29" s="171"/>
      <c r="N29" s="171">
        <f>SUM(N25:N28)</f>
        <v>825</v>
      </c>
      <c r="O29" s="171">
        <f>SUM(O25:O28)</f>
        <v>825</v>
      </c>
    </row>
    <row r="30" spans="1:32" x14ac:dyDescent="0.2">
      <c r="A30" s="192"/>
      <c r="B30" s="192"/>
      <c r="C30" s="193"/>
      <c r="D30" s="193"/>
      <c r="E30" s="193"/>
      <c r="F30" s="193"/>
      <c r="G30" s="194"/>
      <c r="H30" s="194"/>
      <c r="I30" s="194"/>
      <c r="J30" s="194"/>
      <c r="K30" s="192"/>
      <c r="L30" s="192"/>
      <c r="M30" s="192"/>
      <c r="N30" s="192"/>
      <c r="O30" s="192"/>
      <c r="P30" s="192"/>
    </row>
    <row r="31" spans="1:32" x14ac:dyDescent="0.2">
      <c r="A31" s="155" t="s">
        <v>83</v>
      </c>
      <c r="D31" s="4"/>
      <c r="E31" s="4"/>
      <c r="K31" s="154"/>
      <c r="L31" s="154"/>
      <c r="M31" s="154"/>
      <c r="N31" s="154"/>
      <c r="O31" s="213"/>
      <c r="P31" s="213"/>
    </row>
    <row r="32" spans="1:32" x14ac:dyDescent="0.2">
      <c r="A32" s="144"/>
      <c r="D32" s="4"/>
      <c r="E32" s="4"/>
      <c r="K32" s="154"/>
      <c r="L32" s="154"/>
      <c r="M32" s="154"/>
      <c r="N32" s="154"/>
      <c r="O32" s="213"/>
    </row>
    <row r="33" spans="1:220" x14ac:dyDescent="0.2">
      <c r="A33" s="72" t="s">
        <v>84</v>
      </c>
      <c r="D33" s="4">
        <f>IF($C$16&lt;0,0,IF($C$16&gt;833000,833000,$C$16))</f>
        <v>0</v>
      </c>
      <c r="E33" s="152" t="s">
        <v>19</v>
      </c>
      <c r="F33" s="1" t="s">
        <v>80</v>
      </c>
      <c r="G33" s="167"/>
      <c r="H33" s="191"/>
      <c r="I33" s="100">
        <f>'Rider Rates'!$B$4</f>
        <v>5.5215000000000004E-3</v>
      </c>
      <c r="J33" s="214">
        <f>SUM(G33:I33)</f>
        <v>5.5215000000000004E-3</v>
      </c>
      <c r="K33" s="154" t="s">
        <v>85</v>
      </c>
      <c r="L33" s="189"/>
      <c r="M33" s="189"/>
      <c r="N33" s="189">
        <f>ROUND($D33*I33,2)</f>
        <v>0</v>
      </c>
      <c r="O33" s="189">
        <f>SUM(L33:N33)</f>
        <v>0</v>
      </c>
      <c r="P33" s="92">
        <f>'Rider Rates'!$D$4</f>
        <v>46022</v>
      </c>
    </row>
    <row r="34" spans="1:220"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SUM(L34:N34)</f>
        <v>0</v>
      </c>
      <c r="P34" s="92">
        <f>'Rider Rates'!$D$4</f>
        <v>46022</v>
      </c>
    </row>
    <row r="35" spans="1:220"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SUM(L35:N35)</f>
        <v>0</v>
      </c>
      <c r="P35" s="92">
        <f>'Rider Rates'!$D$7</f>
        <v>44531</v>
      </c>
    </row>
    <row r="36" spans="1:220"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SUM(L36:N36)</f>
        <v>0</v>
      </c>
      <c r="P36" s="92">
        <f>'Rider Rates'!$D$7</f>
        <v>44531</v>
      </c>
    </row>
    <row r="37" spans="1:220"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SUM(L37:N37)</f>
        <v>0</v>
      </c>
      <c r="P37" s="92">
        <f>'Rider Rates'!$D$7</f>
        <v>44531</v>
      </c>
    </row>
    <row r="38" spans="1:220"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ref="O38:O52" si="0">SUM(L38:N38)</f>
        <v>0</v>
      </c>
      <c r="P38" s="92">
        <f>MAX('Rider Rates'!$D$18,'Rider Rates'!$F$18)</f>
        <v>44531</v>
      </c>
    </row>
    <row r="39" spans="1:220" x14ac:dyDescent="0.2">
      <c r="A39" s="76" t="s">
        <v>93</v>
      </c>
      <c r="B39" s="72"/>
      <c r="C39" s="72"/>
      <c r="D39" s="4">
        <f>'Customer Info'!$B$22+'Customer Info'!$B$23-'Customer Info'!$B$24</f>
        <v>0</v>
      </c>
      <c r="E39" s="97" t="s">
        <v>19</v>
      </c>
      <c r="F39" s="84" t="s">
        <v>80</v>
      </c>
      <c r="G39" s="100">
        <f>'Rider Rates'!B25</f>
        <v>7.2950000000000001E-2</v>
      </c>
      <c r="H39" s="100"/>
      <c r="I39" s="100"/>
      <c r="J39" s="115">
        <f>SUM(G39:H39)</f>
        <v>7.2950000000000001E-2</v>
      </c>
      <c r="K39" s="94" t="s">
        <v>85</v>
      </c>
      <c r="L39" s="89">
        <f>ROUND(D39*G39,2)</f>
        <v>0</v>
      </c>
      <c r="M39" s="89"/>
      <c r="N39" s="89"/>
      <c r="O39" s="89">
        <f t="shared" si="0"/>
        <v>0</v>
      </c>
      <c r="P39" s="92">
        <f>'Rider Rates'!$D$23</f>
        <v>45809</v>
      </c>
    </row>
    <row r="40" spans="1:220" x14ac:dyDescent="0.2">
      <c r="A40" s="72" t="s">
        <v>94</v>
      </c>
      <c r="B40" s="72"/>
      <c r="C40" s="72"/>
      <c r="D40" s="4">
        <f>'Customer Info'!$B$22+'Customer Info'!$B$23-'Customer Info'!$B$24</f>
        <v>0</v>
      </c>
      <c r="E40" s="97" t="s">
        <v>19</v>
      </c>
      <c r="F40" s="84" t="s">
        <v>80</v>
      </c>
      <c r="G40" s="100">
        <f>'Rider Rates'!$B$43</f>
        <v>1.6299999999999999E-2</v>
      </c>
      <c r="H40" s="100"/>
      <c r="I40" s="100"/>
      <c r="J40" s="115">
        <f>SUM(G40:H40)</f>
        <v>1.6299999999999999E-2</v>
      </c>
      <c r="K40" s="94" t="s">
        <v>85</v>
      </c>
      <c r="L40" s="89">
        <f>ROUND(D40*G40,2)</f>
        <v>0</v>
      </c>
      <c r="M40" s="89"/>
      <c r="N40" s="89"/>
      <c r="O40" s="89">
        <f t="shared" si="0"/>
        <v>0</v>
      </c>
      <c r="P40" s="92">
        <f>'Rider Rates'!$D$43</f>
        <v>45809</v>
      </c>
    </row>
    <row r="41" spans="1:220" x14ac:dyDescent="0.2">
      <c r="A41" s="76" t="s">
        <v>95</v>
      </c>
      <c r="B41" s="72"/>
      <c r="C41" s="72"/>
      <c r="D41" s="4">
        <f>'Customer Info'!$B$22+'Customer Info'!$B$23-'Customer Info'!$B$24</f>
        <v>0</v>
      </c>
      <c r="E41" s="97" t="s">
        <v>19</v>
      </c>
      <c r="F41" s="84" t="s">
        <v>80</v>
      </c>
      <c r="G41" s="100">
        <f>'Rider Rates'!$B$49</f>
        <v>2.7588999999999999E-3</v>
      </c>
      <c r="H41" s="100"/>
      <c r="I41" s="100"/>
      <c r="J41" s="115">
        <f>SUM(G41:H41)</f>
        <v>2.7588999999999999E-3</v>
      </c>
      <c r="K41" s="94" t="s">
        <v>85</v>
      </c>
      <c r="L41" s="89">
        <f>ROUND(D41*G41,2)</f>
        <v>0</v>
      </c>
      <c r="M41" s="89"/>
      <c r="N41" s="89"/>
      <c r="O41" s="89">
        <f t="shared" si="0"/>
        <v>0</v>
      </c>
      <c r="P41" s="92">
        <f>'Rider Rates'!$D$49</f>
        <v>46022</v>
      </c>
    </row>
    <row r="42" spans="1:220" x14ac:dyDescent="0.2">
      <c r="A42" s="72" t="s">
        <v>96</v>
      </c>
      <c r="B42" s="72"/>
      <c r="C42" s="72"/>
      <c r="D42" s="4">
        <f>IF($C$16&lt;0,0,IF($C$16&gt;833000,833000,$C$16))</f>
        <v>0</v>
      </c>
      <c r="E42" s="97" t="s">
        <v>19</v>
      </c>
      <c r="F42" s="84" t="s">
        <v>80</v>
      </c>
      <c r="G42" s="100"/>
      <c r="H42" s="100"/>
      <c r="I42" s="100">
        <f>'Rider Rates'!D53</f>
        <v>0</v>
      </c>
      <c r="J42" s="100">
        <f>SUM(G42:I42)</f>
        <v>0</v>
      </c>
      <c r="K42" s="94" t="s">
        <v>85</v>
      </c>
      <c r="L42" s="89"/>
      <c r="M42" s="89"/>
      <c r="N42" s="189">
        <f>D42*J42</f>
        <v>0</v>
      </c>
      <c r="O42" s="89">
        <f t="shared" si="0"/>
        <v>0</v>
      </c>
      <c r="P42" s="92">
        <f>'Rider Rates'!E53</f>
        <v>45883</v>
      </c>
    </row>
    <row r="43" spans="1:220" x14ac:dyDescent="0.2">
      <c r="A43" s="76" t="s">
        <v>97</v>
      </c>
      <c r="B43" s="72"/>
      <c r="C43" s="72"/>
      <c r="D43" s="4">
        <f>IF($C$16&lt;0,0,$C$16)</f>
        <v>0</v>
      </c>
      <c r="E43" s="97" t="s">
        <v>19</v>
      </c>
      <c r="F43" s="84" t="s">
        <v>80</v>
      </c>
      <c r="G43" s="100"/>
      <c r="H43" s="100">
        <f>'Rider Rates'!$B$61</f>
        <v>4.1229999999999999E-4</v>
      </c>
      <c r="I43" s="100"/>
      <c r="J43" s="100">
        <f>SUM(G43:I43)</f>
        <v>4.1229999999999999E-4</v>
      </c>
      <c r="K43" s="94" t="s">
        <v>85</v>
      </c>
      <c r="L43" s="89"/>
      <c r="M43" s="89">
        <f>ROUND(D43*H43,2)</f>
        <v>0</v>
      </c>
      <c r="N43" s="116"/>
      <c r="O43" s="89">
        <f t="shared" si="0"/>
        <v>0</v>
      </c>
      <c r="P43" s="92">
        <f>'Rider Rates'!$D$61</f>
        <v>45929</v>
      </c>
    </row>
    <row r="44" spans="1:220" x14ac:dyDescent="0.2">
      <c r="A44" s="76" t="s">
        <v>97</v>
      </c>
      <c r="B44" s="72"/>
      <c r="C44" s="72"/>
      <c r="D44" s="375">
        <f>ROUND(MAX(D14,('Customer Info'!B15-100)*0.6,('Customer Info'!B17-100)*0.6),1)</f>
        <v>0</v>
      </c>
      <c r="E44" s="152" t="s">
        <v>211</v>
      </c>
      <c r="F44" s="1" t="s">
        <v>80</v>
      </c>
      <c r="G44" s="100"/>
      <c r="H44" s="90">
        <f>'Rider Rates'!$B$66</f>
        <v>7.16</v>
      </c>
      <c r="I44" s="100"/>
      <c r="J44" s="90">
        <f>SUM(G44:I44)</f>
        <v>7.16</v>
      </c>
      <c r="K44" s="94" t="s">
        <v>162</v>
      </c>
      <c r="L44" s="89"/>
      <c r="M44" s="89">
        <f>ROUND(D44*H44,2)</f>
        <v>0</v>
      </c>
      <c r="N44" s="116"/>
      <c r="O44" s="89">
        <f t="shared" si="0"/>
        <v>0</v>
      </c>
      <c r="P44" s="92">
        <f>'Rider Rates'!$D$66</f>
        <v>45929</v>
      </c>
      <c r="AF44" s="349"/>
    </row>
    <row r="45" spans="1:220" x14ac:dyDescent="0.2">
      <c r="A45" s="76" t="s">
        <v>190</v>
      </c>
      <c r="B45" s="72"/>
      <c r="C45" s="72"/>
      <c r="D45" s="4">
        <f>IF('Customer Info'!C35=TRUE,0,IF($C$16&lt;0,0,$C$16))</f>
        <v>0</v>
      </c>
      <c r="E45" s="97" t="s">
        <v>19</v>
      </c>
      <c r="F45" s="84" t="s">
        <v>80</v>
      </c>
      <c r="G45" s="100"/>
      <c r="H45" s="100"/>
      <c r="I45" s="100">
        <f>'Rider Rates'!$B$73+'Rider Rates'!$C$73</f>
        <v>0</v>
      </c>
      <c r="J45" s="100">
        <f>SUM(G45:I45)</f>
        <v>0</v>
      </c>
      <c r="K45" s="94" t="s">
        <v>85</v>
      </c>
      <c r="L45" s="89"/>
      <c r="M45" s="89"/>
      <c r="N45" s="189">
        <f>ROUND($D$45*'Rider Rates'!$B$73,2)+ROUND($D$45*'Rider Rates'!$C$73,2)</f>
        <v>0</v>
      </c>
      <c r="O45" s="128">
        <f t="shared" si="0"/>
        <v>0</v>
      </c>
      <c r="P45" s="92">
        <f>'Rider Rates'!$D$73</f>
        <v>44531</v>
      </c>
      <c r="Q45" s="101"/>
      <c r="R45" s="94"/>
      <c r="S45" s="95"/>
      <c r="T45" s="72"/>
      <c r="U45" s="96"/>
      <c r="V45" s="72"/>
      <c r="W45" s="72"/>
      <c r="X45" s="72"/>
      <c r="Y45" s="72"/>
      <c r="Z45" s="72"/>
      <c r="AA45" s="72"/>
      <c r="AB45" s="72"/>
      <c r="AC45" s="72"/>
      <c r="AD45" s="72"/>
      <c r="AE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0" x14ac:dyDescent="0.2">
      <c r="A46" s="76" t="s">
        <v>190</v>
      </c>
      <c r="B46" s="72"/>
      <c r="C46" s="72"/>
      <c r="D46" s="349">
        <f>IF('Customer Info'!C35=TRUE,0,$D$27)</f>
        <v>0</v>
      </c>
      <c r="E46" s="97" t="s">
        <v>13</v>
      </c>
      <c r="F46" s="84" t="s">
        <v>80</v>
      </c>
      <c r="G46" s="100"/>
      <c r="H46" s="100"/>
      <c r="I46" s="90">
        <f>'Rider Rates'!$B$83</f>
        <v>0</v>
      </c>
      <c r="J46" s="90">
        <f>SUM(G46:I46)</f>
        <v>0</v>
      </c>
      <c r="K46" s="94" t="s">
        <v>85</v>
      </c>
      <c r="L46" s="89"/>
      <c r="M46" s="89"/>
      <c r="N46" s="189">
        <f>ROUND($D46*I46,2)</f>
        <v>0</v>
      </c>
      <c r="O46" s="128">
        <f>SUM(L46:N46)</f>
        <v>0</v>
      </c>
      <c r="P46" s="92">
        <v>44531</v>
      </c>
      <c r="Q46" s="101"/>
      <c r="R46" s="94"/>
      <c r="S46" s="95"/>
      <c r="T46" s="72"/>
      <c r="U46" s="96"/>
      <c r="V46" s="72"/>
      <c r="W46" s="72"/>
      <c r="X46" s="72"/>
      <c r="Y46" s="72"/>
      <c r="Z46" s="72"/>
      <c r="AA46" s="72"/>
      <c r="AB46" s="72"/>
      <c r="AC46" s="72"/>
      <c r="AD46" s="72"/>
      <c r="AE46" s="72"/>
      <c r="AF46" s="349"/>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100</v>
      </c>
      <c r="B47" s="72"/>
      <c r="C47" s="72"/>
      <c r="D47" s="217">
        <f>$N$29</f>
        <v>825</v>
      </c>
      <c r="E47" s="97" t="s">
        <v>92</v>
      </c>
      <c r="F47" s="84" t="s">
        <v>80</v>
      </c>
      <c r="G47" s="117"/>
      <c r="H47" s="118"/>
      <c r="I47" s="119">
        <f>'Rider Rates'!$B$87</f>
        <v>3.5344300000000002E-2</v>
      </c>
      <c r="J47" s="119">
        <f>SUM(H47:I47)</f>
        <v>3.5344300000000002E-2</v>
      </c>
      <c r="K47" s="94"/>
      <c r="L47" s="89"/>
      <c r="M47" s="89"/>
      <c r="N47" s="89">
        <f>ROUND(N$29*I47,2)</f>
        <v>29.16</v>
      </c>
      <c r="O47" s="128">
        <f t="shared" si="0"/>
        <v>29.16</v>
      </c>
      <c r="P47" s="92">
        <f>'Rider Rates'!$D$87</f>
        <v>45929</v>
      </c>
      <c r="Q47" s="101"/>
      <c r="R47" s="94"/>
      <c r="S47" s="95"/>
      <c r="T47" s="72"/>
      <c r="U47" s="96"/>
      <c r="V47" s="72"/>
      <c r="W47" s="72"/>
      <c r="X47" s="72"/>
      <c r="Y47" s="72"/>
      <c r="Z47" s="72"/>
      <c r="AA47" s="72"/>
      <c r="AB47" s="72"/>
      <c r="AC47" s="72"/>
      <c r="AD47" s="72"/>
      <c r="AE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101</v>
      </c>
      <c r="B48" s="72"/>
      <c r="C48" s="72"/>
      <c r="D48" s="217">
        <f>$N$29</f>
        <v>825</v>
      </c>
      <c r="E48" s="97" t="s">
        <v>92</v>
      </c>
      <c r="F48" s="84" t="s">
        <v>80</v>
      </c>
      <c r="G48" s="120"/>
      <c r="H48" s="85"/>
      <c r="I48" s="119">
        <f>'Rider Rates'!$B$89</f>
        <v>7.8822199999999995E-2</v>
      </c>
      <c r="J48" s="119">
        <f>SUM(H48:I48)</f>
        <v>7.8822199999999995E-2</v>
      </c>
      <c r="K48" s="94"/>
      <c r="L48" s="89"/>
      <c r="M48" s="89"/>
      <c r="N48" s="89">
        <f>ROUND(N$29*I48,2)</f>
        <v>65.03</v>
      </c>
      <c r="O48" s="128">
        <f t="shared" si="0"/>
        <v>65.03</v>
      </c>
      <c r="P48" s="92">
        <f>'Rider Rates'!$D$89</f>
        <v>45987</v>
      </c>
      <c r="Q48" s="101"/>
      <c r="R48" s="94"/>
      <c r="S48" s="95"/>
      <c r="T48" s="72"/>
      <c r="U48" s="96"/>
      <c r="V48" s="72"/>
      <c r="W48" s="72"/>
      <c r="X48" s="72"/>
      <c r="Y48" s="72"/>
      <c r="Z48" s="72"/>
      <c r="AA48" s="72"/>
      <c r="AB48" s="72"/>
      <c r="AC48" s="72"/>
      <c r="AD48" s="72"/>
      <c r="AE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102</v>
      </c>
      <c r="B49" s="72"/>
      <c r="C49" s="72"/>
      <c r="D49" s="376"/>
      <c r="E49" s="97" t="s">
        <v>55</v>
      </c>
      <c r="F49" s="84"/>
      <c r="G49" s="120"/>
      <c r="H49" s="85"/>
      <c r="I49" s="121">
        <f>'Rider Rates'!$B$93</f>
        <v>21.84</v>
      </c>
      <c r="J49" s="121">
        <f>SUM(G49:I49)</f>
        <v>21.84</v>
      </c>
      <c r="K49" s="94"/>
      <c r="L49" s="89"/>
      <c r="M49" s="89"/>
      <c r="N49" s="89">
        <f>I49</f>
        <v>21.84</v>
      </c>
      <c r="O49" s="89">
        <f>SUM(L49:N49)</f>
        <v>21.84</v>
      </c>
      <c r="P49" s="92">
        <f>'Rider Rates'!$D$93</f>
        <v>46022</v>
      </c>
    </row>
    <row r="50" spans="1:221" x14ac:dyDescent="0.2">
      <c r="A50" s="72" t="s">
        <v>175</v>
      </c>
      <c r="B50" s="72"/>
      <c r="C50" s="72"/>
      <c r="D50" s="4">
        <f>$D$33</f>
        <v>0</v>
      </c>
      <c r="E50" s="97" t="s">
        <v>19</v>
      </c>
      <c r="F50" s="84" t="s">
        <v>80</v>
      </c>
      <c r="G50" s="100"/>
      <c r="H50" s="100"/>
      <c r="I50" s="100"/>
      <c r="J50" s="100">
        <f>'Rider Rates'!$B$98</f>
        <v>0</v>
      </c>
      <c r="K50" s="94" t="s">
        <v>85</v>
      </c>
      <c r="L50" s="89"/>
      <c r="M50" s="89"/>
      <c r="N50" s="189"/>
      <c r="O50" s="89">
        <f>ROUND($D50*('Rider Rates'!B$98),2)</f>
        <v>0</v>
      </c>
      <c r="P50" s="92">
        <f>'Rider Rates'!$D$98</f>
        <v>44531</v>
      </c>
      <c r="Q50" s="84"/>
      <c r="R50" s="101"/>
      <c r="S50" s="94"/>
      <c r="T50" s="95"/>
      <c r="U50" s="72"/>
      <c r="V50" s="96"/>
      <c r="W50" s="72"/>
      <c r="X50" s="72"/>
      <c r="Y50" s="72"/>
      <c r="Z50" s="72"/>
      <c r="AA50" s="72"/>
      <c r="AB50" s="72"/>
      <c r="AC50" s="72"/>
      <c r="AD50" s="72"/>
      <c r="AE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176</v>
      </c>
      <c r="B51" s="72"/>
      <c r="C51" s="72"/>
      <c r="D51" s="4">
        <f>$D$34</f>
        <v>0</v>
      </c>
      <c r="E51" s="97" t="s">
        <v>19</v>
      </c>
      <c r="F51" s="84" t="s">
        <v>80</v>
      </c>
      <c r="G51" s="100"/>
      <c r="H51" s="100"/>
      <c r="I51" s="100"/>
      <c r="J51" s="100">
        <f>'Rider Rates'!$B$99</f>
        <v>0</v>
      </c>
      <c r="K51" s="94" t="s">
        <v>85</v>
      </c>
      <c r="L51" s="89"/>
      <c r="M51" s="89"/>
      <c r="N51" s="189"/>
      <c r="O51" s="89">
        <f>ROUND($D51*('Rider Rates'!B$99),2)</f>
        <v>0</v>
      </c>
      <c r="P51" s="92">
        <f>'Rider Rates'!$D$99</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104</v>
      </c>
      <c r="B52" s="72"/>
      <c r="C52" s="72"/>
      <c r="D52" s="217">
        <f>$N$29</f>
        <v>825</v>
      </c>
      <c r="E52" s="97" t="s">
        <v>92</v>
      </c>
      <c r="F52" s="84" t="s">
        <v>80</v>
      </c>
      <c r="G52" s="120"/>
      <c r="H52" s="85"/>
      <c r="I52" s="119">
        <f>'Rider Rates'!$B$107</f>
        <v>0.24079249999999999</v>
      </c>
      <c r="J52" s="119">
        <f>SUM(H52:I52)</f>
        <v>0.24079249999999999</v>
      </c>
      <c r="K52" s="94"/>
      <c r="L52" s="89"/>
      <c r="M52" s="89"/>
      <c r="N52" s="89">
        <f>ROUND(N$29*I52,2)</f>
        <v>198.65</v>
      </c>
      <c r="O52" s="89">
        <f t="shared" si="0"/>
        <v>198.65</v>
      </c>
      <c r="P52" s="92">
        <f>'Rider Rates'!$D$107</f>
        <v>45987</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105</v>
      </c>
      <c r="B53" s="72"/>
      <c r="C53" s="72"/>
      <c r="D53" s="113"/>
      <c r="E53" s="97" t="s">
        <v>55</v>
      </c>
      <c r="F53" s="84"/>
      <c r="G53" s="120"/>
      <c r="H53" s="85"/>
      <c r="I53" s="123">
        <f>'Rider Rates'!B123</f>
        <v>0.99</v>
      </c>
      <c r="J53" s="121">
        <f>SUM(G53:I53)</f>
        <v>0.99</v>
      </c>
      <c r="K53" s="94"/>
      <c r="L53" s="89"/>
      <c r="M53" s="89"/>
      <c r="N53" s="125">
        <f>I53</f>
        <v>0.99</v>
      </c>
      <c r="O53" s="89">
        <f t="shared" ref="O53:O57" si="1">SUM(L53:N53)</f>
        <v>0.99</v>
      </c>
      <c r="P53" s="92">
        <f>'Rider Rates'!D123</f>
        <v>45958</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106</v>
      </c>
      <c r="B54" s="72"/>
      <c r="C54" s="72"/>
      <c r="D54" s="111">
        <f>IF('Customer Info'!$C$33=TRUE,0,'Customer Info'!$B$22+'Customer Info'!$B$23-'Customer Info'!$B$24)</f>
        <v>0</v>
      </c>
      <c r="E54" s="97" t="s">
        <v>19</v>
      </c>
      <c r="F54" s="84" t="s">
        <v>80</v>
      </c>
      <c r="G54" s="100">
        <f>'Rider Rates'!$B$115</f>
        <v>3.6865999999999999E-3</v>
      </c>
      <c r="H54" s="100"/>
      <c r="I54" s="119"/>
      <c r="J54" s="115">
        <f>SUM(G54:H54)</f>
        <v>3.6865999999999999E-3</v>
      </c>
      <c r="K54" s="94" t="s">
        <v>85</v>
      </c>
      <c r="L54" s="89">
        <f>ROUND(D54*G54,2)</f>
        <v>0</v>
      </c>
      <c r="M54" s="89"/>
      <c r="N54" s="89"/>
      <c r="O54" s="89">
        <f t="shared" si="1"/>
        <v>0</v>
      </c>
      <c r="P54" s="92">
        <f>'Rider Rates'!$D$115</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107</v>
      </c>
      <c r="B55" s="72"/>
      <c r="C55" s="72"/>
      <c r="D55" s="4">
        <f>IF($C$16&lt;1,0,$C$16)</f>
        <v>0</v>
      </c>
      <c r="E55" s="97" t="s">
        <v>19</v>
      </c>
      <c r="F55" s="126" t="s">
        <v>80</v>
      </c>
      <c r="G55" s="99"/>
      <c r="H55" s="99"/>
      <c r="I55" s="183">
        <f>'Rider Rates'!B119</f>
        <v>0</v>
      </c>
      <c r="J55" s="183">
        <f>SUM(G55:I55)</f>
        <v>0</v>
      </c>
      <c r="K55" s="94" t="s">
        <v>85</v>
      </c>
      <c r="L55" s="89"/>
      <c r="M55" s="89"/>
      <c r="N55" s="89">
        <f>D55*I55</f>
        <v>0</v>
      </c>
      <c r="O55" s="89">
        <f t="shared" si="1"/>
        <v>0</v>
      </c>
      <c r="P55" s="92">
        <f>'Rider Rates'!D119</f>
        <v>45657</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166</v>
      </c>
      <c r="B56" s="72"/>
      <c r="C56" s="72"/>
      <c r="D56" s="111">
        <f>IF(C16&lt;0,0,IF(C16&gt;833000,833000,C16))</f>
        <v>0</v>
      </c>
      <c r="E56" s="97" t="s">
        <v>19</v>
      </c>
      <c r="F56" s="84" t="s">
        <v>80</v>
      </c>
      <c r="G56" s="195"/>
      <c r="H56" s="195"/>
      <c r="I56" s="195">
        <f>'Rider Rates'!$B$127</f>
        <v>0</v>
      </c>
      <c r="J56" s="195">
        <f>SUM(G56:I56)</f>
        <v>0</v>
      </c>
      <c r="K56" s="94" t="s">
        <v>85</v>
      </c>
      <c r="L56" s="196"/>
      <c r="M56" s="196"/>
      <c r="N56" s="196">
        <f>IF(D56*J56&gt;'Rider Rates'!$C$127,'Rider Rates'!$C$127,D56*J56)</f>
        <v>0</v>
      </c>
      <c r="O56" s="196">
        <f t="shared" si="1"/>
        <v>0</v>
      </c>
      <c r="P56" s="129">
        <f>'Rider Rates'!$E$127</f>
        <v>45883</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167</v>
      </c>
      <c r="B57" s="72"/>
      <c r="C57" s="72"/>
      <c r="D57" s="4">
        <f>IF(C16&gt;833000,C16-833000,0)</f>
        <v>0</v>
      </c>
      <c r="E57" s="97" t="s">
        <v>19</v>
      </c>
      <c r="F57" s="84" t="s">
        <v>80</v>
      </c>
      <c r="G57" s="195"/>
      <c r="H57" s="195"/>
      <c r="I57" s="195">
        <f>'Rider Rates'!$B$128</f>
        <v>0</v>
      </c>
      <c r="J57" s="195">
        <f>SUM(G57:I57)</f>
        <v>0</v>
      </c>
      <c r="K57" s="94" t="s">
        <v>85</v>
      </c>
      <c r="L57" s="196"/>
      <c r="M57" s="196"/>
      <c r="N57" s="196">
        <f>D57*J57</f>
        <v>0</v>
      </c>
      <c r="O57" s="196">
        <f t="shared" si="1"/>
        <v>0</v>
      </c>
      <c r="P57" s="129">
        <f>'Rider Rates'!$E$128</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109</v>
      </c>
      <c r="B58" s="72"/>
      <c r="C58" s="72"/>
      <c r="D58" s="111">
        <f>D16</f>
        <v>0</v>
      </c>
      <c r="E58" s="97" t="s">
        <v>19</v>
      </c>
      <c r="F58" s="126" t="s">
        <v>80</v>
      </c>
      <c r="G58" s="100"/>
      <c r="H58" s="100"/>
      <c r="I58" s="100">
        <f>'Rider Rates'!$B$134</f>
        <v>0</v>
      </c>
      <c r="J58" s="115">
        <f>SUM(G58:I58)</f>
        <v>0</v>
      </c>
      <c r="K58" s="94" t="s">
        <v>85</v>
      </c>
      <c r="L58" s="89"/>
      <c r="M58" s="89"/>
      <c r="N58" s="89">
        <f>D58*J58</f>
        <v>0</v>
      </c>
      <c r="O58" s="89">
        <f>SUM(L58:N58)</f>
        <v>0</v>
      </c>
      <c r="P58" s="92">
        <f>'Rider Rates'!$D$132</f>
        <v>44531</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110</v>
      </c>
      <c r="B59" s="72"/>
      <c r="C59" s="72"/>
      <c r="D59" s="111"/>
      <c r="E59" s="97" t="s">
        <v>55</v>
      </c>
      <c r="F59" s="84" t="s">
        <v>80</v>
      </c>
      <c r="G59" s="127"/>
      <c r="H59" s="127"/>
      <c r="I59" s="127">
        <f>'Rider Rates'!$B$139</f>
        <v>0</v>
      </c>
      <c r="J59" s="127">
        <f>SUM(G59:I59)</f>
        <v>0</v>
      </c>
      <c r="K59" s="94"/>
      <c r="L59" s="128"/>
      <c r="M59" s="128"/>
      <c r="N59" s="128">
        <f>J59</f>
        <v>0</v>
      </c>
      <c r="O59" s="128">
        <f>SUM(L59:N59)</f>
        <v>0</v>
      </c>
      <c r="P59" s="129">
        <f>'Rider Rates'!$D$139</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111</v>
      </c>
      <c r="B60" s="72"/>
      <c r="C60" s="72"/>
      <c r="D60" s="111"/>
      <c r="E60" s="97"/>
      <c r="F60" s="84"/>
      <c r="G60" s="127"/>
      <c r="H60" s="127"/>
      <c r="I60" s="127"/>
      <c r="J60" s="127"/>
      <c r="K60" s="94"/>
      <c r="L60" s="128"/>
      <c r="M60" s="128"/>
      <c r="N60" s="128"/>
      <c r="O60" s="128"/>
      <c r="P60" s="129"/>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30" t="s">
        <v>112</v>
      </c>
      <c r="B61" s="69"/>
      <c r="C61" s="69"/>
      <c r="D61" s="131"/>
      <c r="E61" s="132"/>
      <c r="F61" s="133"/>
      <c r="G61" s="133"/>
      <c r="H61" s="133"/>
      <c r="I61" s="133"/>
      <c r="J61" s="133"/>
      <c r="K61" s="134"/>
      <c r="L61" s="105">
        <f>SUM(L33:L60)</f>
        <v>0</v>
      </c>
      <c r="M61" s="105">
        <f>SUM(M33:M60)</f>
        <v>0</v>
      </c>
      <c r="N61" s="105">
        <f>SUM(N33:N60)</f>
        <v>315.67</v>
      </c>
      <c r="O61" s="105">
        <f>SUM(O33:O60)</f>
        <v>315.67</v>
      </c>
      <c r="P61" s="135"/>
    </row>
    <row r="62" spans="1:221" x14ac:dyDescent="0.2">
      <c r="A62" s="144"/>
      <c r="D62" s="4"/>
      <c r="E62" s="152"/>
      <c r="F62" s="1"/>
      <c r="G62" s="218"/>
      <c r="H62" s="218"/>
      <c r="I62" s="218"/>
      <c r="J62" s="218"/>
      <c r="K62" s="154"/>
      <c r="L62" s="154"/>
      <c r="M62" s="154"/>
      <c r="N62" s="154"/>
      <c r="O62" s="213"/>
      <c r="P62" s="154"/>
    </row>
    <row r="63" spans="1:221" x14ac:dyDescent="0.2">
      <c r="A63" s="204" t="s">
        <v>178</v>
      </c>
      <c r="B63" s="186"/>
      <c r="C63" s="186"/>
      <c r="D63" s="186"/>
      <c r="E63" s="186"/>
      <c r="F63" s="186"/>
      <c r="G63" s="186"/>
      <c r="H63" s="186"/>
      <c r="I63" s="186"/>
      <c r="J63" s="186"/>
      <c r="K63" s="186"/>
      <c r="L63" s="219">
        <f>L29+L61</f>
        <v>0</v>
      </c>
      <c r="M63" s="219">
        <f>M29+M61</f>
        <v>0</v>
      </c>
      <c r="N63" s="219">
        <f>N29+N61</f>
        <v>1140.67</v>
      </c>
      <c r="O63" s="219">
        <f>O29+O61</f>
        <v>1140.67</v>
      </c>
      <c r="P63" s="219"/>
    </row>
    <row r="64" spans="1:221" x14ac:dyDescent="0.2">
      <c r="A64" s="144"/>
      <c r="B64" s="144"/>
      <c r="C64" s="144"/>
      <c r="D64" s="144"/>
      <c r="E64" s="144"/>
      <c r="F64" s="144"/>
      <c r="G64" s="144"/>
      <c r="H64" s="144"/>
      <c r="I64" s="144"/>
      <c r="J64" s="144"/>
      <c r="K64" s="144"/>
      <c r="L64" s="144"/>
      <c r="M64" s="144"/>
      <c r="N64" s="144"/>
      <c r="O64" s="171"/>
      <c r="P64" s="171"/>
    </row>
    <row r="65" spans="1:16" x14ac:dyDescent="0.2">
      <c r="A65" s="144" t="s">
        <v>191</v>
      </c>
      <c r="B65" s="144"/>
      <c r="C65" s="144"/>
      <c r="D65" s="144"/>
      <c r="E65" s="144"/>
      <c r="F65" s="144"/>
      <c r="G65" s="144"/>
      <c r="H65" s="144"/>
      <c r="I65" s="144"/>
      <c r="J65" s="144"/>
      <c r="K65" s="144"/>
      <c r="L65" s="144"/>
      <c r="M65" s="144"/>
      <c r="N65" s="144"/>
      <c r="O65" s="171">
        <f>O25+O27+O61</f>
        <v>1140.67</v>
      </c>
      <c r="P65" s="92">
        <v>40967</v>
      </c>
    </row>
    <row r="66" spans="1:16" x14ac:dyDescent="0.2">
      <c r="A66" s="144"/>
      <c r="B66" s="144"/>
      <c r="C66" s="144"/>
      <c r="D66" s="144"/>
      <c r="E66" s="144"/>
      <c r="F66" s="144"/>
      <c r="G66" s="220"/>
      <c r="H66" s="220"/>
      <c r="I66" s="220"/>
      <c r="J66" s="220"/>
      <c r="K66" s="154"/>
      <c r="L66" s="154"/>
      <c r="M66" s="154"/>
      <c r="N66" s="154"/>
      <c r="O66" s="171"/>
    </row>
    <row r="67" spans="1:16" x14ac:dyDescent="0.2">
      <c r="A67" s="155" t="s">
        <v>115</v>
      </c>
      <c r="B67" s="144"/>
      <c r="C67" s="144"/>
      <c r="D67" s="144"/>
      <c r="E67" s="144"/>
      <c r="F67" s="144"/>
      <c r="G67" s="220"/>
      <c r="H67" s="220"/>
      <c r="I67" s="220"/>
      <c r="J67" s="220"/>
      <c r="K67" s="154"/>
      <c r="L67" s="154"/>
      <c r="M67" s="154"/>
      <c r="N67" s="154"/>
      <c r="O67" s="142">
        <f>MAX($O$63,$O$65)</f>
        <v>1140.67</v>
      </c>
    </row>
    <row r="68" spans="1:16" x14ac:dyDescent="0.2">
      <c r="A68" s="144"/>
      <c r="B68" s="144"/>
      <c r="C68" s="144"/>
      <c r="D68" s="144"/>
      <c r="E68" s="144"/>
      <c r="F68" s="144"/>
      <c r="G68" s="220"/>
      <c r="H68" s="220"/>
      <c r="I68" s="220"/>
      <c r="J68" s="220"/>
      <c r="K68" s="154"/>
      <c r="L68" s="154"/>
      <c r="M68" s="154"/>
      <c r="N68" s="154"/>
      <c r="O68" s="171"/>
    </row>
    <row r="69" spans="1:16" x14ac:dyDescent="0.2">
      <c r="A69" s="144"/>
      <c r="B69" s="144"/>
      <c r="C69" s="144"/>
      <c r="D69" s="144"/>
      <c r="E69" s="144"/>
      <c r="F69" s="144"/>
      <c r="G69" s="153" t="s">
        <v>192</v>
      </c>
      <c r="H69" s="220"/>
      <c r="I69" s="144"/>
      <c r="J69" s="220"/>
      <c r="K69" s="154"/>
      <c r="L69" s="143"/>
      <c r="M69" s="143"/>
      <c r="N69" s="143"/>
      <c r="O69" s="143">
        <f>ROUND(IF($C$16&lt;1,0,$O$67/($C$16*100)*10000),2)</f>
        <v>0</v>
      </c>
      <c r="P69" s="144" t="s">
        <v>117</v>
      </c>
    </row>
    <row r="70" spans="1:16" x14ac:dyDescent="0.2">
      <c r="A70" s="144"/>
      <c r="B70" s="144"/>
      <c r="C70" s="144"/>
      <c r="D70" s="144"/>
      <c r="E70" s="144"/>
      <c r="F70" s="144"/>
      <c r="G70" s="146" t="s">
        <v>118</v>
      </c>
      <c r="H70" s="221"/>
      <c r="I70" s="64"/>
      <c r="J70" s="221"/>
      <c r="K70" s="222"/>
      <c r="L70" s="72"/>
      <c r="M70" s="72"/>
      <c r="N70" s="72"/>
      <c r="O70" s="147">
        <f>ROUND(IF($C$16&lt;1,0,(L63)/($C$16*100)*10000),2)</f>
        <v>0</v>
      </c>
      <c r="P70" s="59" t="s">
        <v>117</v>
      </c>
    </row>
    <row r="71" spans="1:16" x14ac:dyDescent="0.2">
      <c r="A71" s="144"/>
      <c r="B71" s="144"/>
      <c r="C71" s="144"/>
      <c r="D71" s="144"/>
      <c r="E71" s="144"/>
      <c r="F71" s="144"/>
      <c r="G71" s="153"/>
      <c r="H71" s="220"/>
      <c r="I71" s="153"/>
      <c r="J71" s="220"/>
      <c r="K71" s="154"/>
      <c r="L71" s="154"/>
      <c r="M71" s="154"/>
      <c r="N71" s="154"/>
      <c r="O71" s="223"/>
      <c r="P71" s="144"/>
    </row>
    <row r="72" spans="1:16" ht="20.25" customHeight="1" x14ac:dyDescent="0.3">
      <c r="A72" s="44"/>
      <c r="B72" s="144"/>
      <c r="C72" s="144"/>
      <c r="D72" s="224" t="str">
        <f>IF('Customer Info'!$C$33=TRUE,"Notice: Billing Charge does not include Self Assessed KWH Tax"," ")</f>
        <v xml:space="preserve"> </v>
      </c>
      <c r="E72" s="44"/>
      <c r="F72" s="1"/>
      <c r="G72" s="225"/>
      <c r="H72" s="226"/>
      <c r="I72" s="213"/>
      <c r="J72" s="226"/>
      <c r="K72" s="144"/>
      <c r="L72" s="144"/>
      <c r="M72" s="144"/>
      <c r="N72" s="213"/>
    </row>
    <row r="73" spans="1:16" x14ac:dyDescent="0.2">
      <c r="A73" s="144"/>
      <c r="B73" s="144"/>
      <c r="C73" s="144"/>
      <c r="D73" s="174"/>
      <c r="E73" s="44"/>
      <c r="F73" s="1"/>
      <c r="G73" s="226"/>
      <c r="H73" s="226"/>
      <c r="I73" s="227"/>
      <c r="J73" s="226"/>
      <c r="K73" s="144"/>
      <c r="L73" s="144"/>
      <c r="M73" s="144"/>
      <c r="N73" s="144"/>
      <c r="O73" s="171"/>
    </row>
    <row r="74" spans="1:16" x14ac:dyDescent="0.2">
      <c r="A74" s="144"/>
      <c r="B74" s="144"/>
      <c r="C74" s="144"/>
      <c r="D74" s="174"/>
      <c r="E74" s="44"/>
      <c r="F74" s="1"/>
      <c r="G74" s="226"/>
      <c r="H74" s="226"/>
      <c r="I74" s="226"/>
      <c r="J74" s="226"/>
      <c r="K74" s="144"/>
      <c r="L74" s="144"/>
      <c r="M74" s="144"/>
      <c r="N74" s="144"/>
      <c r="O74" s="171"/>
    </row>
    <row r="75" spans="1:16" x14ac:dyDescent="0.2">
      <c r="A75" s="155"/>
      <c r="B75" s="144"/>
      <c r="C75" s="144"/>
      <c r="D75" s="144"/>
      <c r="E75" s="144"/>
      <c r="F75" s="144"/>
      <c r="G75" s="144"/>
      <c r="H75" s="144"/>
      <c r="J75" s="144"/>
      <c r="K75" s="144"/>
      <c r="L75" s="171"/>
      <c r="M75" s="171"/>
      <c r="N75" s="171"/>
      <c r="O75" s="142"/>
    </row>
    <row r="76" spans="1:16" x14ac:dyDescent="0.2">
      <c r="B76" s="144"/>
      <c r="C76" s="144"/>
      <c r="D76" s="144"/>
      <c r="E76" s="144"/>
      <c r="F76" s="144"/>
      <c r="G76" s="153"/>
      <c r="H76" s="144"/>
      <c r="I76" s="144"/>
      <c r="J76" s="144"/>
      <c r="K76" s="144"/>
      <c r="L76" s="228"/>
      <c r="M76" s="228"/>
      <c r="N76" s="228"/>
      <c r="O76" s="223"/>
      <c r="P76" s="144"/>
    </row>
    <row r="77" spans="1:16" x14ac:dyDescent="0.2">
      <c r="G77" s="64"/>
      <c r="H77" s="148"/>
      <c r="I77" s="64"/>
      <c r="J77" s="148"/>
      <c r="K77" s="148"/>
      <c r="L77" s="149"/>
      <c r="M77" s="149"/>
      <c r="N77" s="149"/>
      <c r="O77" s="150"/>
      <c r="P77" s="59"/>
    </row>
    <row r="79" spans="1:16" x14ac:dyDescent="0.2">
      <c r="A79" s="431"/>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row r="89" spans="1:1" x14ac:dyDescent="0.2">
      <c r="A89" s="431"/>
    </row>
    <row r="90" spans="1:1" x14ac:dyDescent="0.2">
      <c r="A90" s="431"/>
    </row>
    <row r="91" spans="1:1" x14ac:dyDescent="0.2">
      <c r="A91" s="431"/>
    </row>
    <row r="92" spans="1:1" x14ac:dyDescent="0.2">
      <c r="A92" s="431"/>
    </row>
    <row r="93" spans="1:1" x14ac:dyDescent="0.2">
      <c r="A93" s="431"/>
    </row>
  </sheetData>
  <sheetProtection algorithmName="SHA-512" hashValue="K0KOsbC63AXib8xns3T7gB8LGxDiZO5qIWNjl9XaTQ76+fky5C5iMRfVQ/LLD271it3vPNVpgmjBmDw0BEgQQA==" saltValue="sX39TssEj0x7Ia0JkRPnxA==" spinCount="100000" sheet="1" objects="1" scenarios="1"/>
  <mergeCells count="26">
    <mergeCell ref="A79:A93"/>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0482"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2048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5"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6"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7"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88"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89"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90"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91"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2"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3"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4"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5"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6"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7"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8"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9"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0"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1"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2"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3"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4"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5"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6"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7"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08"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09"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10"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11"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2"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3"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4"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5"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6"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7"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8"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9"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0"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1"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2"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3"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4"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5"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6"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7"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28"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29"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30"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31"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2"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3"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4"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5"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6"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7"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8"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0542F-5667-40D9-9622-B52C1FA15C23}">
  <sheetPr>
    <pageSetUpPr fitToPage="1"/>
  </sheetPr>
  <dimension ref="A1:IV94"/>
  <sheetViews>
    <sheetView showGridLines="0" zoomScale="80" zoomScaleNormal="80" workbookViewId="0">
      <selection sqref="A1:P1"/>
    </sheetView>
  </sheetViews>
  <sheetFormatPr defaultColWidth="9.140625" defaultRowHeight="12.75" x14ac:dyDescent="0.2"/>
  <cols>
    <col min="1" max="1" width="31" style="48" customWidth="1"/>
    <col min="2" max="2" width="2.140625" style="48" customWidth="1"/>
    <col min="3" max="3" width="19.42578125" style="48" customWidth="1"/>
    <col min="4" max="4" width="15.42578125" style="48" customWidth="1"/>
    <col min="5" max="5" width="9.85546875" style="48" customWidth="1"/>
    <col min="6" max="6" width="3.5703125" style="48" customWidth="1"/>
    <col min="7" max="8" width="13.42578125" style="48" customWidth="1"/>
    <col min="9" max="9" width="14.5703125" style="48" customWidth="1"/>
    <col min="10" max="10" width="13.42578125" style="48" customWidth="1"/>
    <col min="11" max="11" width="7" style="48" customWidth="1"/>
    <col min="12" max="12" width="15.140625" style="48" customWidth="1"/>
    <col min="13" max="14" width="14.42578125" style="48" customWidth="1"/>
    <col min="15" max="15" width="16.42578125" style="48" bestFit="1" customWidth="1"/>
    <col min="16" max="16" width="13.85546875" style="48" bestFit="1" customWidth="1"/>
    <col min="17" max="17" width="9.140625" style="48"/>
    <col min="18" max="26" width="9.140625" style="48" hidden="1" customWidth="1"/>
    <col min="27" max="27" width="10.5703125" style="48" hidden="1" customWidth="1"/>
    <col min="28" max="29" width="9.140625" style="48" hidden="1" customWidth="1"/>
    <col min="30" max="30" width="10" style="48" hidden="1" customWidth="1"/>
    <col min="31" max="16384" width="9.140625" style="48"/>
  </cols>
  <sheetData>
    <row r="1" spans="1:256" ht="20.25" x14ac:dyDescent="0.3">
      <c r="A1" s="463" t="s">
        <v>50</v>
      </c>
      <c r="B1" s="463"/>
      <c r="C1" s="463"/>
      <c r="D1" s="463"/>
      <c r="E1" s="463"/>
      <c r="F1" s="463"/>
      <c r="G1" s="463"/>
      <c r="H1" s="463"/>
      <c r="I1" s="463"/>
      <c r="J1" s="463"/>
      <c r="K1" s="463"/>
      <c r="L1" s="463"/>
      <c r="M1" s="463"/>
      <c r="N1" s="463"/>
      <c r="O1" s="463"/>
      <c r="P1" s="463"/>
    </row>
    <row r="2" spans="1:256" ht="20.25" x14ac:dyDescent="0.3">
      <c r="A2" s="462" t="s">
        <v>138</v>
      </c>
      <c r="B2" s="462"/>
      <c r="C2" s="462"/>
      <c r="D2" s="462"/>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462"/>
      <c r="CZ2" s="462"/>
      <c r="DA2" s="462"/>
      <c r="DB2" s="462"/>
      <c r="DC2" s="462"/>
      <c r="DD2" s="462"/>
      <c r="DE2" s="462"/>
      <c r="DF2" s="462"/>
      <c r="DG2" s="462"/>
      <c r="DH2" s="462"/>
      <c r="DI2" s="462"/>
      <c r="DJ2" s="462"/>
      <c r="DK2" s="462"/>
      <c r="DL2" s="462"/>
      <c r="DM2" s="462"/>
      <c r="DN2" s="462"/>
      <c r="DO2" s="462"/>
      <c r="DP2" s="462"/>
      <c r="DQ2" s="462"/>
      <c r="DR2" s="462"/>
      <c r="DS2" s="462"/>
      <c r="DT2" s="462"/>
      <c r="DU2" s="462"/>
      <c r="DV2" s="462"/>
      <c r="DW2" s="462"/>
      <c r="DX2" s="462"/>
      <c r="DY2" s="462"/>
      <c r="DZ2" s="462"/>
      <c r="EA2" s="462"/>
      <c r="EB2" s="462"/>
      <c r="EC2" s="462"/>
      <c r="ED2" s="462"/>
      <c r="EE2" s="462"/>
      <c r="EF2" s="462"/>
      <c r="EG2" s="462"/>
      <c r="EH2" s="462"/>
      <c r="EI2" s="462"/>
      <c r="EJ2" s="462"/>
      <c r="EK2" s="462"/>
      <c r="EL2" s="462"/>
      <c r="EM2" s="462"/>
      <c r="EN2" s="462"/>
      <c r="EO2" s="462"/>
      <c r="EP2" s="462"/>
      <c r="EQ2" s="462"/>
      <c r="ER2" s="462"/>
      <c r="ES2" s="462"/>
      <c r="ET2" s="462"/>
      <c r="EU2" s="462"/>
      <c r="EV2" s="462"/>
      <c r="EW2" s="462"/>
      <c r="EX2" s="462"/>
      <c r="EY2" s="462"/>
      <c r="EZ2" s="462"/>
      <c r="FA2" s="462"/>
      <c r="FB2" s="462"/>
      <c r="FC2" s="462"/>
      <c r="FD2" s="462"/>
      <c r="FE2" s="462"/>
      <c r="FF2" s="462"/>
      <c r="FG2" s="462"/>
      <c r="FH2" s="462"/>
      <c r="FI2" s="462"/>
      <c r="FJ2" s="462"/>
      <c r="FK2" s="462"/>
      <c r="FL2" s="462"/>
      <c r="FM2" s="462"/>
      <c r="FN2" s="462"/>
      <c r="FO2" s="462"/>
      <c r="FP2" s="462"/>
      <c r="FQ2" s="462"/>
      <c r="FR2" s="462"/>
      <c r="FS2" s="462"/>
      <c r="FT2" s="462"/>
      <c r="FU2" s="462"/>
      <c r="FV2" s="462"/>
      <c r="FW2" s="462"/>
      <c r="FX2" s="462"/>
      <c r="FY2" s="462"/>
      <c r="FZ2" s="462"/>
      <c r="GA2" s="462"/>
      <c r="GB2" s="462"/>
      <c r="GC2" s="462"/>
      <c r="GD2" s="462"/>
      <c r="GE2" s="462"/>
      <c r="GF2" s="462"/>
      <c r="GG2" s="462"/>
      <c r="GH2" s="462"/>
      <c r="GI2" s="462"/>
      <c r="GJ2" s="462"/>
      <c r="GK2" s="462"/>
      <c r="GL2" s="462"/>
      <c r="GM2" s="462"/>
      <c r="GN2" s="462"/>
      <c r="GO2" s="462"/>
      <c r="GP2" s="462"/>
      <c r="GQ2" s="462"/>
      <c r="GR2" s="462"/>
      <c r="GS2" s="462"/>
      <c r="GT2" s="462"/>
      <c r="GU2" s="462"/>
      <c r="GV2" s="462"/>
      <c r="GW2" s="462"/>
      <c r="GX2" s="462"/>
      <c r="GY2" s="462"/>
      <c r="GZ2" s="462"/>
      <c r="HA2" s="462"/>
      <c r="HB2" s="462"/>
      <c r="HC2" s="462"/>
      <c r="HD2" s="462"/>
      <c r="HE2" s="462"/>
      <c r="HF2" s="462"/>
      <c r="HG2" s="462"/>
      <c r="HH2" s="462"/>
      <c r="HI2" s="462"/>
      <c r="HJ2" s="462"/>
      <c r="HK2" s="462"/>
      <c r="HL2" s="462"/>
      <c r="HM2" s="462"/>
      <c r="HN2" s="462"/>
      <c r="HO2" s="462"/>
      <c r="HP2" s="462"/>
      <c r="HQ2" s="462"/>
      <c r="HR2" s="462"/>
      <c r="HS2" s="462"/>
      <c r="HT2" s="462"/>
      <c r="HU2" s="462"/>
      <c r="HV2" s="462"/>
      <c r="HW2" s="462"/>
      <c r="HX2" s="462"/>
      <c r="HY2" s="462"/>
      <c r="HZ2" s="462"/>
      <c r="IA2" s="462"/>
      <c r="IB2" s="462"/>
      <c r="IC2" s="462"/>
      <c r="ID2" s="462"/>
      <c r="IE2" s="462"/>
      <c r="IF2" s="462"/>
      <c r="IG2" s="462"/>
      <c r="IH2" s="462"/>
      <c r="II2" s="462"/>
      <c r="IJ2" s="462"/>
      <c r="IK2" s="462"/>
      <c r="IL2" s="462"/>
      <c r="IM2" s="462"/>
      <c r="IN2" s="462"/>
      <c r="IO2" s="462"/>
      <c r="IP2" s="462"/>
      <c r="IQ2" s="462"/>
      <c r="IR2" s="462"/>
      <c r="IS2" s="462"/>
      <c r="IT2" s="462"/>
      <c r="IU2" s="462"/>
      <c r="IV2" s="462"/>
    </row>
    <row r="3" spans="1:256" ht="18" x14ac:dyDescent="0.25">
      <c r="A3" s="464" t="s">
        <v>320</v>
      </c>
      <c r="B3" s="464"/>
      <c r="C3" s="464"/>
      <c r="D3" s="464"/>
      <c r="E3" s="464"/>
      <c r="F3" s="464"/>
      <c r="G3" s="464"/>
      <c r="H3" s="464"/>
      <c r="I3" s="464"/>
      <c r="J3" s="464"/>
      <c r="K3" s="464"/>
      <c r="L3" s="464"/>
      <c r="M3" s="464"/>
      <c r="N3" s="464"/>
      <c r="O3" s="464"/>
      <c r="P3" s="464"/>
    </row>
    <row r="4" spans="1:256" ht="15.75" x14ac:dyDescent="0.25">
      <c r="A4" s="466" t="s">
        <v>11</v>
      </c>
      <c r="B4" s="466"/>
      <c r="C4" s="466"/>
      <c r="D4" s="466"/>
      <c r="E4" s="466"/>
      <c r="F4" s="466"/>
      <c r="G4" s="466"/>
      <c r="H4" s="466"/>
      <c r="I4" s="466"/>
      <c r="J4" s="466"/>
      <c r="K4" s="466"/>
      <c r="L4" s="466"/>
      <c r="M4" s="466"/>
      <c r="N4" s="466"/>
      <c r="O4" s="466"/>
      <c r="P4" s="466"/>
    </row>
    <row r="5" spans="1:256" ht="15" x14ac:dyDescent="0.2">
      <c r="A5" s="311"/>
      <c r="B5" s="311"/>
      <c r="C5" s="311"/>
      <c r="D5" s="311"/>
      <c r="E5" s="311"/>
      <c r="F5" s="311"/>
      <c r="G5" s="311"/>
      <c r="H5" s="311"/>
      <c r="I5" s="311"/>
      <c r="J5" s="311"/>
      <c r="K5" s="311"/>
    </row>
    <row r="6" spans="1:256" x14ac:dyDescent="0.2">
      <c r="A6" s="312">
        <f ca="1">TODAY()</f>
        <v>46051</v>
      </c>
      <c r="B6" s="313" t="s">
        <v>202</v>
      </c>
      <c r="C6" s="312"/>
      <c r="D6" s="312"/>
      <c r="E6" s="312"/>
      <c r="F6" s="312"/>
      <c r="G6" s="312"/>
      <c r="H6" s="312"/>
      <c r="I6" s="312"/>
    </row>
    <row r="7" spans="1:256" ht="26.25" x14ac:dyDescent="0.4">
      <c r="A7" s="467"/>
      <c r="B7" s="467"/>
      <c r="C7" s="467"/>
      <c r="D7" s="467"/>
      <c r="E7" s="467"/>
      <c r="F7" s="467"/>
      <c r="G7" s="467"/>
      <c r="H7" s="467"/>
      <c r="I7" s="467"/>
      <c r="J7" s="467"/>
      <c r="K7" s="467"/>
      <c r="L7" s="467"/>
      <c r="M7" s="467"/>
      <c r="N7" s="467"/>
      <c r="O7" s="467"/>
      <c r="P7" s="467"/>
    </row>
    <row r="8" spans="1:256" ht="15" x14ac:dyDescent="0.2">
      <c r="A8" s="314" t="s">
        <v>5</v>
      </c>
      <c r="B8" s="315"/>
      <c r="C8" s="59">
        <f>'Customer Info'!B7</f>
        <v>0</v>
      </c>
      <c r="D8"/>
      <c r="I8" s="316"/>
    </row>
    <row r="9" spans="1:256" ht="15" x14ac:dyDescent="0.2">
      <c r="A9" s="317" t="s">
        <v>53</v>
      </c>
      <c r="B9" s="315"/>
      <c r="C9" s="59">
        <f>'Customer Info'!B8</f>
        <v>0</v>
      </c>
      <c r="D9"/>
    </row>
    <row r="10" spans="1:256" x14ac:dyDescent="0.2">
      <c r="A10" s="314" t="s">
        <v>121</v>
      </c>
      <c r="B10" s="62">
        <f>'Customer Info'!B9</f>
        <v>2</v>
      </c>
      <c r="C10" s="63" t="str">
        <f>LOOKUP(B10,R10:AD10,R11:AD11)</f>
        <v>February</v>
      </c>
      <c r="D10" s="64">
        <f>'Customer Info'!C9</f>
        <v>2026</v>
      </c>
      <c r="S10" s="48">
        <v>1</v>
      </c>
      <c r="T10" s="48">
        <v>2</v>
      </c>
      <c r="U10" s="48">
        <v>3</v>
      </c>
      <c r="V10" s="48">
        <v>4</v>
      </c>
      <c r="W10" s="48">
        <v>5</v>
      </c>
      <c r="X10" s="48">
        <v>6</v>
      </c>
      <c r="Y10" s="48">
        <v>7</v>
      </c>
      <c r="Z10" s="48">
        <v>8</v>
      </c>
      <c r="AA10" s="48">
        <v>9</v>
      </c>
      <c r="AB10" s="48">
        <v>10</v>
      </c>
      <c r="AC10" s="48">
        <v>11</v>
      </c>
      <c r="AD10" s="48">
        <v>12</v>
      </c>
    </row>
    <row r="11" spans="1:256" ht="15" customHeight="1" x14ac:dyDescent="0.2">
      <c r="A11" s="468"/>
      <c r="B11" s="468"/>
      <c r="C11" s="468"/>
      <c r="D11" s="468"/>
      <c r="E11" s="468"/>
      <c r="F11" s="468"/>
      <c r="G11" s="468"/>
      <c r="H11" s="468"/>
      <c r="I11" s="468"/>
      <c r="R11" s="48" t="s">
        <v>55</v>
      </c>
      <c r="S11" s="318" t="s">
        <v>56</v>
      </c>
      <c r="T11" s="318" t="s">
        <v>57</v>
      </c>
      <c r="U11" s="318" t="s">
        <v>58</v>
      </c>
      <c r="V11" s="318" t="s">
        <v>59</v>
      </c>
      <c r="W11" s="318" t="s">
        <v>60</v>
      </c>
      <c r="X11" s="318" t="s">
        <v>61</v>
      </c>
      <c r="Y11" s="318" t="s">
        <v>62</v>
      </c>
      <c r="Z11" s="318" t="s">
        <v>63</v>
      </c>
      <c r="AA11" s="318" t="s">
        <v>64</v>
      </c>
      <c r="AB11" s="318" t="s">
        <v>65</v>
      </c>
      <c r="AC11" s="318" t="s">
        <v>66</v>
      </c>
      <c r="AD11" s="318" t="s">
        <v>67</v>
      </c>
    </row>
    <row r="12" spans="1:256" x14ac:dyDescent="0.2">
      <c r="A12" s="319" t="s">
        <v>68</v>
      </c>
      <c r="B12" s="320"/>
      <c r="C12" s="320"/>
      <c r="D12" s="320"/>
      <c r="E12" s="320"/>
      <c r="F12" s="320"/>
      <c r="G12" s="320"/>
      <c r="H12" s="320"/>
      <c r="I12" s="320"/>
      <c r="J12" s="320"/>
      <c r="K12" s="320"/>
      <c r="L12" s="320"/>
      <c r="M12" s="320"/>
      <c r="N12" s="320"/>
      <c r="O12" s="320"/>
      <c r="P12" s="320"/>
      <c r="R12" s="48" t="s">
        <v>142</v>
      </c>
      <c r="S12" s="321">
        <v>3.1399999999999997E-2</v>
      </c>
      <c r="T12" s="321">
        <v>3.1399999999999997E-2</v>
      </c>
      <c r="U12" s="321">
        <v>3.1399999999999997E-2</v>
      </c>
      <c r="V12" s="321">
        <v>3.1399999999999997E-2</v>
      </c>
      <c r="W12" s="321">
        <v>3.1399999999999997E-2</v>
      </c>
      <c r="X12" s="321">
        <v>3.1399999999999997E-2</v>
      </c>
      <c r="Y12" s="321">
        <v>3.1399999999999997E-2</v>
      </c>
      <c r="Z12" s="321">
        <v>3.1399999999999997E-2</v>
      </c>
      <c r="AA12" s="321">
        <v>3.1399999999999997E-2</v>
      </c>
      <c r="AB12" s="321">
        <v>3.1399999999999997E-2</v>
      </c>
      <c r="AC12" s="321">
        <v>3.1399999999999997E-2</v>
      </c>
      <c r="AD12" s="321">
        <v>3.1399999999999997E-2</v>
      </c>
    </row>
    <row r="13" spans="1:256" x14ac:dyDescent="0.2">
      <c r="C13" s="318" t="s">
        <v>181</v>
      </c>
      <c r="D13" s="318" t="s">
        <v>182</v>
      </c>
    </row>
    <row r="14" spans="1:256" x14ac:dyDescent="0.2">
      <c r="A14" s="322" t="s">
        <v>183</v>
      </c>
      <c r="B14" s="322"/>
      <c r="C14" s="206">
        <f>'Customer Info'!B19</f>
        <v>0</v>
      </c>
      <c r="D14" s="206">
        <f>ROUND(C14*C20,1)</f>
        <v>0</v>
      </c>
      <c r="E14" s="322" t="s">
        <v>13</v>
      </c>
      <c r="F14" s="323"/>
      <c r="G14" s="322" t="s">
        <v>2</v>
      </c>
      <c r="I14" s="207" t="s">
        <v>2</v>
      </c>
      <c r="J14" s="322"/>
      <c r="K14" s="322"/>
      <c r="L14" s="322"/>
      <c r="M14" s="322"/>
      <c r="N14" s="322"/>
    </row>
    <row r="15" spans="1:256" x14ac:dyDescent="0.2">
      <c r="A15" s="322" t="s">
        <v>184</v>
      </c>
      <c r="B15" s="322"/>
      <c r="C15" s="206">
        <f>'Customer Info'!B20</f>
        <v>0</v>
      </c>
      <c r="D15" s="206">
        <f>C15*C20</f>
        <v>0</v>
      </c>
      <c r="E15" s="322" t="s">
        <v>13</v>
      </c>
      <c r="F15" s="323"/>
      <c r="G15" s="322" t="s">
        <v>185</v>
      </c>
      <c r="I15" s="324" t="str">
        <f>IF(MAX(C14,C15)&gt;0,C16/(MAX(C14,C15)*730), " ")</f>
        <v xml:space="preserve"> </v>
      </c>
      <c r="J15" s="322"/>
      <c r="K15" s="322"/>
      <c r="L15" s="322"/>
      <c r="M15" s="322"/>
      <c r="N15" s="322"/>
      <c r="X15" s="321"/>
      <c r="Y15" s="321"/>
      <c r="Z15" s="321"/>
      <c r="AA15" s="321"/>
    </row>
    <row r="16" spans="1:256" x14ac:dyDescent="0.2">
      <c r="A16" s="322" t="s">
        <v>134</v>
      </c>
      <c r="B16" s="322"/>
      <c r="C16" s="159">
        <f>IF('Customer Info'!B22+'Customer Info'!B23-'Customer Info'!B24&lt;0,0,'Customer Info'!B22+'Customer Info'!B23-'Customer Info'!B24)</f>
        <v>0</v>
      </c>
      <c r="D16" s="159">
        <f>C16*C20</f>
        <v>0</v>
      </c>
      <c r="E16" s="322" t="s">
        <v>19</v>
      </c>
      <c r="F16" s="323"/>
      <c r="G16" s="322"/>
      <c r="H16" s="322"/>
      <c r="I16" s="322"/>
      <c r="J16" s="322"/>
      <c r="K16" s="322"/>
      <c r="L16" s="322"/>
      <c r="M16" s="322"/>
      <c r="N16" s="322"/>
      <c r="O16" s="322"/>
    </row>
    <row r="17" spans="1:30" x14ac:dyDescent="0.2">
      <c r="A17" s="322" t="s">
        <v>203</v>
      </c>
      <c r="B17" s="322"/>
      <c r="C17" s="159">
        <f>'Customer Info'!$B$28</f>
        <v>0</v>
      </c>
      <c r="D17" s="159">
        <f>$C$17*$C$20</f>
        <v>0</v>
      </c>
      <c r="E17" s="322" t="s">
        <v>204</v>
      </c>
      <c r="F17" s="323"/>
      <c r="K17" s="322"/>
      <c r="L17" s="322"/>
      <c r="M17" s="322"/>
      <c r="N17" s="322"/>
    </row>
    <row r="18" spans="1:30" x14ac:dyDescent="0.2">
      <c r="A18" s="322" t="s">
        <v>205</v>
      </c>
      <c r="B18" s="322"/>
      <c r="C18" s="325">
        <f>IF('Customer Info'!$B$19=0,0,ROUND(MAX(ROUND('Customer Info'!$B$19*'GS PRI'!C20,1),ROUND('Customer Info'!$B$20*'GS PRI'!C20,1))/'Customer Info'!$D$30,1))</f>
        <v>0</v>
      </c>
      <c r="D18" s="206">
        <f>$C$18</f>
        <v>0</v>
      </c>
      <c r="E18" s="322" t="s">
        <v>206</v>
      </c>
      <c r="F18" s="323"/>
      <c r="K18" s="322"/>
      <c r="L18" s="322"/>
      <c r="M18" s="322"/>
      <c r="N18" s="322"/>
    </row>
    <row r="19" spans="1:30" x14ac:dyDescent="0.2">
      <c r="A19" s="322" t="s">
        <v>207</v>
      </c>
      <c r="B19" s="322"/>
      <c r="C19" s="159"/>
      <c r="D19" s="325">
        <f>MAX(100,ROUND(1.15*(MAX('Customer Info'!$B$19*'GS PRI'!C20,'Customer Info'!$B$20*'GS PRI'!C20)),1))</f>
        <v>100</v>
      </c>
      <c r="E19" s="322" t="s">
        <v>206</v>
      </c>
      <c r="F19" s="323"/>
      <c r="K19" s="322"/>
      <c r="L19" s="322"/>
      <c r="M19" s="322"/>
      <c r="N19" s="322"/>
    </row>
    <row r="20" spans="1:30" x14ac:dyDescent="0.2">
      <c r="A20" s="322" t="s">
        <v>186</v>
      </c>
      <c r="B20" s="322"/>
      <c r="C20" s="209">
        <f>+'Customer Info'!E19</f>
        <v>1</v>
      </c>
      <c r="D20" s="158"/>
      <c r="E20" s="322"/>
      <c r="F20" s="323"/>
      <c r="G20" s="314"/>
      <c r="H20" s="314"/>
      <c r="I20" s="314"/>
      <c r="J20" s="314"/>
      <c r="K20" s="322"/>
      <c r="L20" s="322"/>
      <c r="M20" s="322"/>
      <c r="N20" s="322"/>
      <c r="S20" s="321"/>
      <c r="T20" s="321"/>
      <c r="U20" s="321"/>
      <c r="V20" s="321"/>
      <c r="W20" s="321"/>
      <c r="X20" s="321"/>
      <c r="Y20" s="321"/>
      <c r="Z20" s="321"/>
      <c r="AA20" s="321"/>
      <c r="AB20" s="321"/>
      <c r="AC20" s="321"/>
      <c r="AD20" s="321"/>
    </row>
    <row r="21" spans="1:30" x14ac:dyDescent="0.2">
      <c r="A21" s="322" t="s">
        <v>2</v>
      </c>
      <c r="B21" s="322"/>
      <c r="C21" s="210" t="s">
        <v>2</v>
      </c>
      <c r="D21" s="469" t="s">
        <v>2</v>
      </c>
      <c r="E21" s="469"/>
      <c r="F21" s="469"/>
      <c r="G21" s="469"/>
      <c r="H21" s="469"/>
      <c r="K21" s="322"/>
      <c r="L21" s="322"/>
      <c r="M21" s="322"/>
      <c r="N21" s="322"/>
      <c r="O21" s="188"/>
    </row>
    <row r="22" spans="1:30" x14ac:dyDescent="0.2">
      <c r="A22" s="322" t="s">
        <v>2</v>
      </c>
      <c r="B22" s="322"/>
      <c r="C22" s="210" t="s">
        <v>2</v>
      </c>
      <c r="D22" s="469" t="s">
        <v>2</v>
      </c>
      <c r="E22" s="469"/>
      <c r="F22" s="469"/>
      <c r="G22" s="469"/>
      <c r="H22" s="469"/>
      <c r="I22" s="314"/>
      <c r="J22" s="314"/>
      <c r="K22" s="322"/>
      <c r="L22" s="322"/>
      <c r="M22" s="322"/>
      <c r="N22" s="322"/>
      <c r="O22" s="188"/>
    </row>
    <row r="23" spans="1:30" x14ac:dyDescent="0.2">
      <c r="A23" s="322"/>
      <c r="B23" s="322"/>
      <c r="C23" s="323"/>
      <c r="D23" s="323"/>
      <c r="E23" s="323"/>
      <c r="F23" s="323"/>
      <c r="G23" s="314"/>
      <c r="H23" s="314"/>
      <c r="I23" s="314"/>
      <c r="J23" s="314"/>
      <c r="K23" s="322"/>
      <c r="L23" s="322"/>
      <c r="M23" s="322"/>
      <c r="N23" s="322"/>
      <c r="O23" s="322"/>
    </row>
    <row r="24" spans="1:30" x14ac:dyDescent="0.2">
      <c r="A24" s="319" t="s">
        <v>70</v>
      </c>
      <c r="B24" s="320"/>
      <c r="C24" s="320"/>
      <c r="D24" s="320"/>
      <c r="E24" s="320"/>
      <c r="F24" s="320"/>
      <c r="G24" s="470" t="s">
        <v>71</v>
      </c>
      <c r="H24" s="471"/>
      <c r="I24" s="471"/>
      <c r="J24" s="472"/>
      <c r="K24" s="320"/>
      <c r="L24" s="473" t="s">
        <v>72</v>
      </c>
      <c r="M24" s="473"/>
      <c r="N24" s="473"/>
      <c r="O24" s="473"/>
    </row>
    <row r="25" spans="1:30" x14ac:dyDescent="0.2">
      <c r="G25" s="326" t="s">
        <v>73</v>
      </c>
      <c r="H25" s="326" t="s">
        <v>74</v>
      </c>
      <c r="I25" s="326" t="s">
        <v>75</v>
      </c>
      <c r="J25" s="327" t="s">
        <v>76</v>
      </c>
      <c r="L25" s="328" t="s">
        <v>73</v>
      </c>
      <c r="M25" s="328" t="s">
        <v>74</v>
      </c>
      <c r="N25" s="328" t="s">
        <v>75</v>
      </c>
      <c r="O25" s="328" t="s">
        <v>76</v>
      </c>
      <c r="P25" s="329" t="s">
        <v>77</v>
      </c>
    </row>
    <row r="26" spans="1:30" x14ac:dyDescent="0.2">
      <c r="A26" s="48" t="s">
        <v>78</v>
      </c>
      <c r="G26" s="189"/>
      <c r="H26" s="189"/>
      <c r="I26" s="189">
        <v>9.4</v>
      </c>
      <c r="J26" s="189">
        <f>SUM(G26:I26)</f>
        <v>9.4</v>
      </c>
      <c r="L26" s="330"/>
      <c r="M26" s="330"/>
      <c r="N26" s="330">
        <f>I26</f>
        <v>9.4</v>
      </c>
      <c r="O26" s="128">
        <f>SUM(L26:N26)</f>
        <v>9.4</v>
      </c>
      <c r="P26" s="331">
        <v>44531</v>
      </c>
    </row>
    <row r="27" spans="1:30" x14ac:dyDescent="0.2">
      <c r="A27" s="48" t="s">
        <v>165</v>
      </c>
      <c r="D27" s="332">
        <f>D16</f>
        <v>0</v>
      </c>
      <c r="E27" s="333" t="s">
        <v>19</v>
      </c>
      <c r="F27" s="334" t="s">
        <v>80</v>
      </c>
      <c r="G27" s="191"/>
      <c r="H27" s="189"/>
      <c r="I27" s="189"/>
      <c r="J27" s="191"/>
      <c r="K27" s="335" t="s">
        <v>85</v>
      </c>
      <c r="L27" s="189"/>
      <c r="M27" s="330"/>
      <c r="N27" s="189"/>
      <c r="O27" s="128"/>
      <c r="P27" s="331"/>
    </row>
    <row r="28" spans="1:30" x14ac:dyDescent="0.2">
      <c r="A28" s="48" t="s">
        <v>208</v>
      </c>
      <c r="D28" s="349">
        <f>ROUND(MAX(D14,D15,IF('Customer Info'!B14&lt;25001,0,IF('Customer Info'!B14&lt;75001,15000+(('Customer Info'!B14-25000)*0.85),IF('Customer Info'!B14&lt;75000,0,IF(((57500+('Customer Info'!B14-75000))/'Customer Info'!B14)&gt;85%,'Customer Info'!B14*85%,57500+('Customer Info'!B14-75000))))),('Customer Info'!B16)*0.85),1)</f>
        <v>0</v>
      </c>
      <c r="E28" s="322" t="s">
        <v>13</v>
      </c>
      <c r="F28" s="329" t="s">
        <v>80</v>
      </c>
      <c r="G28" s="337"/>
      <c r="H28" s="337"/>
      <c r="I28" s="337">
        <v>7.01</v>
      </c>
      <c r="J28" s="337">
        <f>SUM(G28:I28)</f>
        <v>7.01</v>
      </c>
      <c r="K28" s="46" t="s">
        <v>162</v>
      </c>
      <c r="L28" s="189"/>
      <c r="M28" s="189"/>
      <c r="N28" s="189">
        <f>ROUND($D28*I28,2)</f>
        <v>0</v>
      </c>
      <c r="O28" s="128">
        <f>SUM(L28:N28)</f>
        <v>0</v>
      </c>
      <c r="P28" s="331">
        <v>44531</v>
      </c>
    </row>
    <row r="29" spans="1:30" x14ac:dyDescent="0.2">
      <c r="A29" s="48" t="s">
        <v>209</v>
      </c>
      <c r="D29" s="336">
        <f>IF(D18&lt;=100,0,ROUND(IF(D18-D19&gt;0,D18-D19),1))</f>
        <v>0</v>
      </c>
      <c r="E29" s="322" t="s">
        <v>210</v>
      </c>
      <c r="F29" s="329" t="s">
        <v>80</v>
      </c>
      <c r="G29" s="338"/>
      <c r="H29" s="337"/>
      <c r="I29" s="337">
        <v>1.25</v>
      </c>
      <c r="J29" s="338">
        <f>SUM(G29:I29)</f>
        <v>1.25</v>
      </c>
      <c r="K29" s="46" t="s">
        <v>162</v>
      </c>
      <c r="L29" s="189"/>
      <c r="M29" s="189"/>
      <c r="N29" s="189">
        <f>ROUND($D29*I29,2)</f>
        <v>0</v>
      </c>
      <c r="O29" s="189">
        <f>SUM(L29:N29)</f>
        <v>0</v>
      </c>
      <c r="P29" s="331">
        <v>44531</v>
      </c>
    </row>
    <row r="30" spans="1:30" x14ac:dyDescent="0.2">
      <c r="A30" s="339" t="s">
        <v>82</v>
      </c>
      <c r="B30" s="339"/>
      <c r="C30" s="339"/>
      <c r="D30" s="340"/>
      <c r="E30" s="340"/>
      <c r="F30" s="339"/>
      <c r="G30" s="339"/>
      <c r="H30" s="339"/>
      <c r="I30" s="339"/>
      <c r="J30" s="339"/>
      <c r="K30" s="341"/>
      <c r="L30" s="171"/>
      <c r="M30" s="171"/>
      <c r="N30" s="171">
        <f>SUM(N26:N29)</f>
        <v>9.4</v>
      </c>
      <c r="O30" s="171">
        <f>SUM(O26:O29)</f>
        <v>9.4</v>
      </c>
    </row>
    <row r="31" spans="1:30" x14ac:dyDescent="0.2">
      <c r="A31" s="342"/>
      <c r="B31" s="342"/>
      <c r="C31" s="343"/>
      <c r="D31" s="343"/>
      <c r="E31" s="343"/>
      <c r="F31" s="343"/>
      <c r="G31" s="344"/>
      <c r="H31" s="344"/>
      <c r="I31" s="344"/>
      <c r="J31" s="344"/>
      <c r="K31" s="342"/>
      <c r="L31" s="342"/>
      <c r="M31" s="342"/>
      <c r="N31" s="342"/>
      <c r="O31" s="342"/>
      <c r="P31" s="342"/>
    </row>
    <row r="32" spans="1:30" x14ac:dyDescent="0.2">
      <c r="A32" s="345" t="s">
        <v>83</v>
      </c>
      <c r="D32" s="332"/>
      <c r="E32" s="332"/>
      <c r="K32" s="46"/>
      <c r="L32" s="46"/>
      <c r="M32" s="46"/>
      <c r="N32" s="46"/>
      <c r="O32" s="213"/>
      <c r="P32" s="213"/>
    </row>
    <row r="33" spans="1:220" x14ac:dyDescent="0.2">
      <c r="A33" s="339"/>
      <c r="D33" s="332"/>
      <c r="E33" s="332"/>
      <c r="K33" s="46"/>
      <c r="L33" s="46"/>
      <c r="M33" s="46"/>
      <c r="N33" s="46"/>
      <c r="O33" s="213"/>
    </row>
    <row r="34" spans="1:220" x14ac:dyDescent="0.2">
      <c r="A34" s="313" t="s">
        <v>84</v>
      </c>
      <c r="D34" s="4">
        <f>IF($C$16&lt;0,0,IF($C$16&gt;833000,833000,$C$16))</f>
        <v>0</v>
      </c>
      <c r="E34" s="346" t="s">
        <v>19</v>
      </c>
      <c r="F34" s="329" t="s">
        <v>80</v>
      </c>
      <c r="G34" s="167"/>
      <c r="H34" s="191"/>
      <c r="I34" s="100">
        <f>'Rider Rates'!$B$4</f>
        <v>5.5215000000000004E-3</v>
      </c>
      <c r="J34" s="214">
        <f>SUM(G34:I34)</f>
        <v>5.5215000000000004E-3</v>
      </c>
      <c r="K34" s="46" t="s">
        <v>85</v>
      </c>
      <c r="L34" s="189"/>
      <c r="M34" s="189"/>
      <c r="N34" s="189">
        <f>ROUND($D34*I34,2)</f>
        <v>0</v>
      </c>
      <c r="O34" s="189">
        <f t="shared" ref="O34:O50" si="0">SUM(L34:N34)</f>
        <v>0</v>
      </c>
      <c r="P34" s="92">
        <f>'Rider Rates'!$D$4</f>
        <v>46022</v>
      </c>
    </row>
    <row r="35" spans="1:220" x14ac:dyDescent="0.2">
      <c r="A35" s="313" t="s">
        <v>86</v>
      </c>
      <c r="D35" s="4">
        <f>IF($C$16-833000&gt;0,$C$16-D34,0)</f>
        <v>0</v>
      </c>
      <c r="E35" s="346" t="s">
        <v>19</v>
      </c>
      <c r="F35" s="329" t="s">
        <v>80</v>
      </c>
      <c r="G35" s="167"/>
      <c r="H35" s="191"/>
      <c r="I35" s="100">
        <f>'Rider Rates'!$B$5</f>
        <v>1.7560000000000001E-4</v>
      </c>
      <c r="J35" s="215">
        <f>SUM(G35:I35)</f>
        <v>1.7560000000000001E-4</v>
      </c>
      <c r="K35" s="46" t="s">
        <v>85</v>
      </c>
      <c r="L35" s="189"/>
      <c r="M35" s="189"/>
      <c r="N35" s="189">
        <f>ROUND($D35*I35,2)</f>
        <v>0</v>
      </c>
      <c r="O35" s="189">
        <f t="shared" si="0"/>
        <v>0</v>
      </c>
      <c r="P35" s="92">
        <f>'Rider Rates'!$D$4</f>
        <v>46022</v>
      </c>
    </row>
    <row r="36" spans="1:220" x14ac:dyDescent="0.2">
      <c r="A36" s="313" t="s">
        <v>187</v>
      </c>
      <c r="B36" s="48" t="s">
        <v>2</v>
      </c>
      <c r="D36" s="4">
        <f>IF('Customer Info'!$C$33=TRUE,0,IF(C16&lt;0,0,IF(C16&gt;2000,2000,C16)))</f>
        <v>0</v>
      </c>
      <c r="E36" s="346" t="s">
        <v>19</v>
      </c>
      <c r="F36" s="329" t="s">
        <v>80</v>
      </c>
      <c r="G36" s="167"/>
      <c r="H36" s="191"/>
      <c r="I36" s="112">
        <f>'Rider Rates'!$B$8</f>
        <v>4.6499999999999996E-3</v>
      </c>
      <c r="J36" s="216">
        <f>SUM(G36:I36)</f>
        <v>4.6499999999999996E-3</v>
      </c>
      <c r="K36" s="46" t="s">
        <v>85</v>
      </c>
      <c r="L36" s="189"/>
      <c r="M36" s="189"/>
      <c r="N36" s="189">
        <f>ROUND($D36*I36,2)</f>
        <v>0</v>
      </c>
      <c r="O36" s="189">
        <f t="shared" si="0"/>
        <v>0</v>
      </c>
      <c r="P36" s="92">
        <f>'Rider Rates'!$D$7</f>
        <v>44531</v>
      </c>
    </row>
    <row r="37" spans="1:220" x14ac:dyDescent="0.2">
      <c r="A37" s="313" t="s">
        <v>188</v>
      </c>
      <c r="B37" s="48" t="s">
        <v>2</v>
      </c>
      <c r="D37" s="4">
        <f>IF('Customer Info'!$C$33=TRUE,0,IF(C16&gt;15000,13000,IF(C16&gt;2000,C16-2000,0)))</f>
        <v>0</v>
      </c>
      <c r="E37" s="346" t="s">
        <v>19</v>
      </c>
      <c r="F37" s="329" t="s">
        <v>80</v>
      </c>
      <c r="G37" s="167"/>
      <c r="H37" s="191"/>
      <c r="I37" s="112">
        <f>'Rider Rates'!$B$9</f>
        <v>4.1900000000000001E-3</v>
      </c>
      <c r="J37" s="216">
        <f>SUM(G37:I37)</f>
        <v>4.1900000000000001E-3</v>
      </c>
      <c r="K37" s="46" t="s">
        <v>85</v>
      </c>
      <c r="L37" s="189"/>
      <c r="M37" s="189"/>
      <c r="N37" s="189">
        <f>ROUND($D37*I37,2)</f>
        <v>0</v>
      </c>
      <c r="O37" s="189">
        <f t="shared" si="0"/>
        <v>0</v>
      </c>
      <c r="P37" s="92">
        <f>'Rider Rates'!$D$7</f>
        <v>44531</v>
      </c>
    </row>
    <row r="38" spans="1:220" x14ac:dyDescent="0.2">
      <c r="A38" s="313" t="s">
        <v>189</v>
      </c>
      <c r="B38" s="48" t="s">
        <v>2</v>
      </c>
      <c r="D38" s="4">
        <f>IF('Customer Info'!$C$33=TRUE,0,IF(C16-D36-D37&gt;0,C16-D36-D37,0))</f>
        <v>0</v>
      </c>
      <c r="E38" s="346" t="s">
        <v>19</v>
      </c>
      <c r="F38" s="329" t="s">
        <v>80</v>
      </c>
      <c r="G38" s="167"/>
      <c r="H38" s="191"/>
      <c r="I38" s="112">
        <f>'Rider Rates'!$B$10</f>
        <v>3.63E-3</v>
      </c>
      <c r="J38" s="216">
        <f>SUM(G38:I38)</f>
        <v>3.63E-3</v>
      </c>
      <c r="K38" s="46" t="s">
        <v>85</v>
      </c>
      <c r="L38" s="189"/>
      <c r="M38" s="189"/>
      <c r="N38" s="189">
        <f>ROUND($D38*I38,2)</f>
        <v>0</v>
      </c>
      <c r="O38" s="189">
        <f t="shared" si="0"/>
        <v>0</v>
      </c>
      <c r="P38" s="92">
        <f>'Rider Rates'!$D$7</f>
        <v>44531</v>
      </c>
    </row>
    <row r="39" spans="1:220" x14ac:dyDescent="0.2">
      <c r="A39" s="313" t="s">
        <v>91</v>
      </c>
      <c r="B39" s="313"/>
      <c r="C39" s="313"/>
      <c r="D39" s="217">
        <f>$N$30</f>
        <v>9.4</v>
      </c>
      <c r="E39" s="333" t="s">
        <v>92</v>
      </c>
      <c r="F39" s="334" t="s">
        <v>80</v>
      </c>
      <c r="G39" s="100"/>
      <c r="H39" s="100"/>
      <c r="I39" s="114">
        <f>'Rider Rates'!$B$18+'Rider Rates'!$E$18</f>
        <v>0</v>
      </c>
      <c r="J39" s="347">
        <f>SUM(H39:I39)</f>
        <v>0</v>
      </c>
      <c r="K39" s="335"/>
      <c r="L39" s="89"/>
      <c r="M39" s="89"/>
      <c r="N39" s="89">
        <v>0</v>
      </c>
      <c r="O39" s="89">
        <f t="shared" si="0"/>
        <v>0</v>
      </c>
      <c r="P39" s="92">
        <f>MAX('Rider Rates'!$D$18,'Rider Rates'!$F$18)</f>
        <v>44531</v>
      </c>
    </row>
    <row r="40" spans="1:220" x14ac:dyDescent="0.2">
      <c r="A40" s="313" t="s">
        <v>93</v>
      </c>
      <c r="B40" s="313"/>
      <c r="C40" s="313"/>
      <c r="D40" s="111">
        <f>'Customer Info'!$B$22+'Customer Info'!$B$23-'Customer Info'!$B$24</f>
        <v>0</v>
      </c>
      <c r="E40" s="333" t="s">
        <v>19</v>
      </c>
      <c r="F40" s="334" t="s">
        <v>80</v>
      </c>
      <c r="G40" s="100">
        <f>'Rider Rates'!B23</f>
        <v>7.6880000000000004E-2</v>
      </c>
      <c r="H40" s="100"/>
      <c r="I40" s="100"/>
      <c r="J40" s="348">
        <f>SUM(G40:H40)</f>
        <v>7.6880000000000004E-2</v>
      </c>
      <c r="K40" s="335" t="s">
        <v>85</v>
      </c>
      <c r="L40" s="89">
        <f>ROUND(D40*G40,2)</f>
        <v>0</v>
      </c>
      <c r="M40" s="89"/>
      <c r="N40" s="89"/>
      <c r="O40" s="89">
        <f t="shared" si="0"/>
        <v>0</v>
      </c>
      <c r="P40" s="92">
        <f>'Rider Rates'!$D$23</f>
        <v>45809</v>
      </c>
    </row>
    <row r="41" spans="1:220" x14ac:dyDescent="0.2">
      <c r="A41" s="313" t="s">
        <v>94</v>
      </c>
      <c r="B41" s="313"/>
      <c r="C41" s="313"/>
      <c r="D41" s="111">
        <f>'Customer Info'!$B$22+'Customer Info'!$B$23-'Customer Info'!$B$24</f>
        <v>0</v>
      </c>
      <c r="E41" s="333" t="s">
        <v>19</v>
      </c>
      <c r="F41" s="334" t="s">
        <v>80</v>
      </c>
      <c r="G41" s="100">
        <f>'Rider Rates'!B37</f>
        <v>1.8180000000000002E-2</v>
      </c>
      <c r="H41" s="100"/>
      <c r="I41" s="100"/>
      <c r="J41" s="348">
        <f>SUM(G41:H41)</f>
        <v>1.8180000000000002E-2</v>
      </c>
      <c r="K41" s="335" t="s">
        <v>85</v>
      </c>
      <c r="L41" s="89">
        <f>ROUND(D41*G41,2)</f>
        <v>0</v>
      </c>
      <c r="M41" s="89"/>
      <c r="N41" s="89"/>
      <c r="O41" s="89">
        <f t="shared" si="0"/>
        <v>0</v>
      </c>
      <c r="P41" s="92">
        <f>'Rider Rates'!$D$42</f>
        <v>45809</v>
      </c>
    </row>
    <row r="42" spans="1:220" x14ac:dyDescent="0.2">
      <c r="A42" s="313" t="s">
        <v>95</v>
      </c>
      <c r="B42" s="313"/>
      <c r="C42" s="313"/>
      <c r="D42" s="111">
        <f>'Customer Info'!$B$22+'Customer Info'!$B$23-'Customer Info'!$B$24</f>
        <v>0</v>
      </c>
      <c r="E42" s="333" t="s">
        <v>19</v>
      </c>
      <c r="F42" s="334" t="s">
        <v>80</v>
      </c>
      <c r="G42" s="100">
        <f>'Rider Rates'!$B$49</f>
        <v>2.7588999999999999E-3</v>
      </c>
      <c r="H42" s="100"/>
      <c r="I42" s="100"/>
      <c r="J42" s="348">
        <f>SUM(G42:H42)</f>
        <v>2.7588999999999999E-3</v>
      </c>
      <c r="K42" s="335" t="s">
        <v>85</v>
      </c>
      <c r="L42" s="89">
        <f>ROUND(D42*G42,2)</f>
        <v>0</v>
      </c>
      <c r="M42" s="89"/>
      <c r="N42" s="89"/>
      <c r="O42" s="89">
        <f t="shared" si="0"/>
        <v>0</v>
      </c>
      <c r="P42" s="92">
        <f>'Rider Rates'!$D$49</f>
        <v>46022</v>
      </c>
    </row>
    <row r="43" spans="1:220" x14ac:dyDescent="0.2">
      <c r="A43" s="313" t="s">
        <v>96</v>
      </c>
      <c r="B43" s="313"/>
      <c r="C43" s="313"/>
      <c r="D43" s="4">
        <f>IF($C$16&lt;0,0,IF($C$16&gt;833000,833000,$C$16))</f>
        <v>0</v>
      </c>
      <c r="E43" s="333" t="s">
        <v>19</v>
      </c>
      <c r="F43" s="334" t="s">
        <v>80</v>
      </c>
      <c r="G43" s="100"/>
      <c r="H43" s="100"/>
      <c r="I43" s="100">
        <f>'Rider Rates'!D53</f>
        <v>0</v>
      </c>
      <c r="J43" s="100">
        <f>SUM(G43:I43)</f>
        <v>0</v>
      </c>
      <c r="K43" s="335" t="s">
        <v>85</v>
      </c>
      <c r="L43" s="89"/>
      <c r="M43" s="89"/>
      <c r="N43" s="189">
        <f>D43*J43</f>
        <v>0</v>
      </c>
      <c r="O43" s="89">
        <f t="shared" si="0"/>
        <v>0</v>
      </c>
      <c r="P43" s="92">
        <f>'Rider Rates'!E53</f>
        <v>45883</v>
      </c>
    </row>
    <row r="44" spans="1:220" x14ac:dyDescent="0.2">
      <c r="A44" s="313" t="s">
        <v>97</v>
      </c>
      <c r="B44" s="313"/>
      <c r="C44" s="313"/>
      <c r="D44" s="4">
        <f>IF($C$16&lt;0,0,$C$16)</f>
        <v>0</v>
      </c>
      <c r="E44" s="333" t="s">
        <v>19</v>
      </c>
      <c r="F44" s="334" t="s">
        <v>80</v>
      </c>
      <c r="G44" s="100"/>
      <c r="H44" s="100">
        <f>'Rider Rates'!$B$59</f>
        <v>4.3439999999999999E-4</v>
      </c>
      <c r="I44" s="100"/>
      <c r="J44" s="100">
        <f>SUM(G44:I44)</f>
        <v>4.3439999999999999E-4</v>
      </c>
      <c r="K44" s="335" t="s">
        <v>85</v>
      </c>
      <c r="L44" s="89"/>
      <c r="M44" s="89">
        <f>ROUND(D44*H44,2)</f>
        <v>0</v>
      </c>
      <c r="N44" s="116"/>
      <c r="O44" s="89">
        <f t="shared" si="0"/>
        <v>0</v>
      </c>
      <c r="P44" s="92">
        <f>'Rider Rates'!$D$59</f>
        <v>45929</v>
      </c>
    </row>
    <row r="45" spans="1:220" x14ac:dyDescent="0.2">
      <c r="A45" s="313" t="s">
        <v>97</v>
      </c>
      <c r="B45" s="313"/>
      <c r="C45" s="313"/>
      <c r="D45" s="349">
        <f>ROUND(MAX(D14,IF('Customer Info'!B14&lt;25001,0,IF('Customer Info'!B14&lt;75001,15000+(('Customer Info'!B14-25000)*0.85),IF('Customer Info'!B14&lt;75000,0,IF(((57500+('Customer Info'!B14-75000))/'Customer Info'!B14)&gt;85%,'Customer Info'!B14*85%,575000+('Customer Info'!B14-75000))))),('Customer Info'!B16)*0.85),1)</f>
        <v>0</v>
      </c>
      <c r="E45" s="346" t="s">
        <v>211</v>
      </c>
      <c r="F45" s="329" t="s">
        <v>80</v>
      </c>
      <c r="G45" s="100"/>
      <c r="H45" s="90">
        <f>'Rider Rates'!$B$64</f>
        <v>7.49</v>
      </c>
      <c r="I45" s="100"/>
      <c r="J45" s="90">
        <f>SUM(G45:I45)</f>
        <v>7.49</v>
      </c>
      <c r="K45" s="335" t="s">
        <v>162</v>
      </c>
      <c r="L45" s="89"/>
      <c r="M45" s="89">
        <f>ROUND(D45*H45,2)</f>
        <v>0</v>
      </c>
      <c r="N45" s="116"/>
      <c r="O45" s="89">
        <f t="shared" si="0"/>
        <v>0</v>
      </c>
      <c r="P45" s="92">
        <f>'Rider Rates'!$D$64</f>
        <v>45929</v>
      </c>
    </row>
    <row r="46" spans="1:220" x14ac:dyDescent="0.2">
      <c r="A46" s="313" t="s">
        <v>190</v>
      </c>
      <c r="B46" s="313"/>
      <c r="C46" s="313"/>
      <c r="D46" s="4">
        <f>IF('Customer Info'!C35=TRUE,0,IF($C$16&lt;0,0,$C$16))</f>
        <v>0</v>
      </c>
      <c r="E46" s="333" t="s">
        <v>19</v>
      </c>
      <c r="F46" s="334" t="s">
        <v>80</v>
      </c>
      <c r="G46" s="100"/>
      <c r="H46" s="100"/>
      <c r="I46" s="100">
        <f>'Rider Rates'!$B$73+'Rider Rates'!$C$73</f>
        <v>0</v>
      </c>
      <c r="J46" s="100">
        <f>SUM(G46:I46)</f>
        <v>0</v>
      </c>
      <c r="K46" s="335" t="s">
        <v>85</v>
      </c>
      <c r="L46" s="89"/>
      <c r="M46" s="89"/>
      <c r="N46" s="189">
        <v>0</v>
      </c>
      <c r="O46" s="128">
        <f t="shared" si="0"/>
        <v>0</v>
      </c>
      <c r="P46" s="92">
        <f>'Rider Rates'!$D$73</f>
        <v>44531</v>
      </c>
      <c r="Q46" s="101"/>
      <c r="R46" s="335"/>
      <c r="S46" s="95"/>
      <c r="T46" s="313"/>
      <c r="U46" s="96"/>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313"/>
      <c r="CQ46" s="313"/>
      <c r="CR46" s="313"/>
      <c r="CS46" s="313"/>
      <c r="CT46" s="313"/>
      <c r="CU46" s="313"/>
      <c r="CV46" s="313"/>
      <c r="CW46" s="313"/>
      <c r="CX46" s="313"/>
      <c r="CY46" s="313"/>
      <c r="CZ46" s="313"/>
      <c r="DA46" s="313"/>
      <c r="DB46" s="313"/>
      <c r="DC46" s="313"/>
      <c r="DD46" s="313"/>
      <c r="DE46" s="313"/>
      <c r="DF46" s="313"/>
      <c r="DG46" s="313"/>
      <c r="DH46" s="313"/>
      <c r="DI46" s="313"/>
      <c r="DJ46" s="313"/>
      <c r="DK46" s="313"/>
      <c r="DL46" s="313"/>
      <c r="DM46" s="313"/>
      <c r="DN46" s="313"/>
      <c r="DO46" s="313"/>
      <c r="DP46" s="313"/>
      <c r="DQ46" s="313"/>
      <c r="DR46" s="313"/>
      <c r="DS46" s="313"/>
      <c r="DT46" s="313"/>
      <c r="DU46" s="313"/>
      <c r="DV46" s="313"/>
      <c r="DW46" s="313"/>
      <c r="DX46" s="313"/>
      <c r="DY46" s="313"/>
      <c r="DZ46" s="313"/>
      <c r="EA46" s="313"/>
      <c r="EB46" s="313"/>
      <c r="EC46" s="313"/>
      <c r="ED46" s="313"/>
      <c r="EE46" s="313"/>
      <c r="EF46" s="313"/>
      <c r="EG46" s="313"/>
      <c r="EH46" s="313"/>
      <c r="EI46" s="313"/>
      <c r="EJ46" s="313"/>
      <c r="EK46" s="313"/>
      <c r="EL46" s="313"/>
      <c r="EM46" s="313"/>
      <c r="EN46" s="313"/>
      <c r="EO46" s="313"/>
      <c r="EP46" s="313"/>
      <c r="EQ46" s="313"/>
      <c r="ER46" s="313"/>
      <c r="ES46" s="313"/>
      <c r="ET46" s="313"/>
      <c r="EU46" s="313"/>
      <c r="EV46" s="313"/>
      <c r="EW46" s="313"/>
      <c r="EX46" s="313"/>
      <c r="EY46" s="313"/>
      <c r="EZ46" s="313"/>
      <c r="FA46" s="313"/>
      <c r="FB46" s="313"/>
      <c r="FC46" s="313"/>
      <c r="FD46" s="313"/>
      <c r="FE46" s="313"/>
      <c r="FF46" s="313"/>
      <c r="FG46" s="313"/>
      <c r="FH46" s="313"/>
      <c r="FI46" s="313"/>
      <c r="FJ46" s="313"/>
      <c r="FK46" s="313"/>
      <c r="FL46" s="313"/>
      <c r="FM46" s="313"/>
      <c r="FN46" s="313"/>
      <c r="FO46" s="313"/>
      <c r="FP46" s="313"/>
      <c r="FQ46" s="313"/>
      <c r="FR46" s="313"/>
      <c r="FS46" s="313"/>
      <c r="FT46" s="313"/>
      <c r="FU46" s="313"/>
      <c r="FV46" s="313"/>
      <c r="FW46" s="313"/>
      <c r="FX46" s="313"/>
      <c r="FY46" s="313"/>
      <c r="FZ46" s="313"/>
      <c r="GA46" s="313"/>
      <c r="GB46" s="313"/>
      <c r="GC46" s="313"/>
      <c r="GD46" s="313"/>
      <c r="GE46" s="313"/>
      <c r="GF46" s="313"/>
      <c r="GG46" s="313"/>
      <c r="GH46" s="313"/>
      <c r="GI46" s="313"/>
      <c r="GJ46" s="313"/>
      <c r="GK46" s="313"/>
      <c r="GL46" s="313"/>
      <c r="GM46" s="313"/>
      <c r="GN46" s="313"/>
      <c r="GO46" s="313"/>
      <c r="GP46" s="313"/>
      <c r="GQ46" s="313"/>
      <c r="GR46" s="313"/>
      <c r="GS46" s="313"/>
      <c r="GT46" s="313"/>
      <c r="GU46" s="313"/>
      <c r="GV46" s="313"/>
      <c r="GW46" s="313"/>
      <c r="GX46" s="313"/>
      <c r="GY46" s="313"/>
      <c r="GZ46" s="313"/>
      <c r="HA46" s="313"/>
      <c r="HB46" s="313"/>
      <c r="HC46" s="313"/>
      <c r="HD46" s="313"/>
      <c r="HE46" s="313"/>
      <c r="HF46" s="313"/>
      <c r="HG46" s="313"/>
      <c r="HH46" s="313"/>
      <c r="HI46" s="313"/>
      <c r="HJ46" s="313"/>
      <c r="HK46" s="313"/>
      <c r="HL46" s="313"/>
    </row>
    <row r="47" spans="1:220" x14ac:dyDescent="0.2">
      <c r="A47" s="313" t="s">
        <v>190</v>
      </c>
      <c r="B47" s="313"/>
      <c r="C47" s="313"/>
      <c r="D47" s="349">
        <f>IF('Customer Info'!C35=TRUE,0,$D$28)</f>
        <v>0</v>
      </c>
      <c r="E47" s="333" t="s">
        <v>13</v>
      </c>
      <c r="F47" s="334" t="s">
        <v>80</v>
      </c>
      <c r="G47" s="100"/>
      <c r="H47" s="100"/>
      <c r="I47" s="90">
        <f>'Rider Rates'!$B$83</f>
        <v>0</v>
      </c>
      <c r="J47" s="90">
        <f>SUM(G47:I47)</f>
        <v>0</v>
      </c>
      <c r="K47" s="335" t="s">
        <v>85</v>
      </c>
      <c r="L47" s="89"/>
      <c r="M47" s="89"/>
      <c r="N47" s="189">
        <f>ROUND($D47*I47,2)</f>
        <v>0</v>
      </c>
      <c r="O47" s="128">
        <f t="shared" si="0"/>
        <v>0</v>
      </c>
      <c r="P47" s="92">
        <f>'Rider Rates'!$D$83</f>
        <v>45444</v>
      </c>
      <c r="Q47" s="101"/>
      <c r="R47" s="335"/>
      <c r="S47" s="95"/>
      <c r="T47" s="313"/>
      <c r="U47" s="96"/>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313"/>
      <c r="CQ47" s="313"/>
      <c r="CR47" s="313"/>
      <c r="CS47" s="313"/>
      <c r="CT47" s="313"/>
      <c r="CU47" s="313"/>
      <c r="CV47" s="313"/>
      <c r="CW47" s="313"/>
      <c r="CX47" s="313"/>
      <c r="CY47" s="313"/>
      <c r="CZ47" s="313"/>
      <c r="DA47" s="313"/>
      <c r="DB47" s="313"/>
      <c r="DC47" s="313"/>
      <c r="DD47" s="313"/>
      <c r="DE47" s="313"/>
      <c r="DF47" s="313"/>
      <c r="DG47" s="313"/>
      <c r="DH47" s="313"/>
      <c r="DI47" s="313"/>
      <c r="DJ47" s="313"/>
      <c r="DK47" s="313"/>
      <c r="DL47" s="313"/>
      <c r="DM47" s="313"/>
      <c r="DN47" s="313"/>
      <c r="DO47" s="313"/>
      <c r="DP47" s="313"/>
      <c r="DQ47" s="313"/>
      <c r="DR47" s="313"/>
      <c r="DS47" s="313"/>
      <c r="DT47" s="313"/>
      <c r="DU47" s="313"/>
      <c r="DV47" s="313"/>
      <c r="DW47" s="313"/>
      <c r="DX47" s="313"/>
      <c r="DY47" s="313"/>
      <c r="DZ47" s="313"/>
      <c r="EA47" s="313"/>
      <c r="EB47" s="313"/>
      <c r="EC47" s="313"/>
      <c r="ED47" s="313"/>
      <c r="EE47" s="313"/>
      <c r="EF47" s="313"/>
      <c r="EG47" s="313"/>
      <c r="EH47" s="313"/>
      <c r="EI47" s="313"/>
      <c r="EJ47" s="313"/>
      <c r="EK47" s="313"/>
      <c r="EL47" s="313"/>
      <c r="EM47" s="313"/>
      <c r="EN47" s="313"/>
      <c r="EO47" s="313"/>
      <c r="EP47" s="313"/>
      <c r="EQ47" s="313"/>
      <c r="ER47" s="313"/>
      <c r="ES47" s="313"/>
      <c r="ET47" s="313"/>
      <c r="EU47" s="313"/>
      <c r="EV47" s="313"/>
      <c r="EW47" s="313"/>
      <c r="EX47" s="313"/>
      <c r="EY47" s="313"/>
      <c r="EZ47" s="313"/>
      <c r="FA47" s="313"/>
      <c r="FB47" s="313"/>
      <c r="FC47" s="313"/>
      <c r="FD47" s="313"/>
      <c r="FE47" s="313"/>
      <c r="FF47" s="313"/>
      <c r="FG47" s="313"/>
      <c r="FH47" s="313"/>
      <c r="FI47" s="313"/>
      <c r="FJ47" s="313"/>
      <c r="FK47" s="313"/>
      <c r="FL47" s="313"/>
      <c r="FM47" s="313"/>
      <c r="FN47" s="313"/>
      <c r="FO47" s="313"/>
      <c r="FP47" s="313"/>
      <c r="FQ47" s="313"/>
      <c r="FR47" s="313"/>
      <c r="FS47" s="313"/>
      <c r="FT47" s="313"/>
      <c r="FU47" s="313"/>
      <c r="FV47" s="313"/>
      <c r="FW47" s="313"/>
      <c r="FX47" s="313"/>
      <c r="FY47" s="313"/>
      <c r="FZ47" s="313"/>
      <c r="GA47" s="313"/>
      <c r="GB47" s="313"/>
      <c r="GC47" s="313"/>
      <c r="GD47" s="313"/>
      <c r="GE47" s="313"/>
      <c r="GF47" s="313"/>
      <c r="GG47" s="313"/>
      <c r="GH47" s="313"/>
      <c r="GI47" s="313"/>
      <c r="GJ47" s="313"/>
      <c r="GK47" s="313"/>
      <c r="GL47" s="313"/>
      <c r="GM47" s="313"/>
      <c r="GN47" s="313"/>
      <c r="GO47" s="313"/>
      <c r="GP47" s="313"/>
      <c r="GQ47" s="313"/>
      <c r="GR47" s="313"/>
      <c r="GS47" s="313"/>
      <c r="GT47" s="313"/>
      <c r="GU47" s="313"/>
      <c r="GV47" s="313"/>
      <c r="GW47" s="313"/>
      <c r="GX47" s="313"/>
      <c r="GY47" s="313"/>
      <c r="GZ47" s="313"/>
      <c r="HA47" s="313"/>
      <c r="HB47" s="313"/>
      <c r="HC47" s="313"/>
      <c r="HD47" s="313"/>
      <c r="HE47" s="313"/>
      <c r="HF47" s="313"/>
      <c r="HG47" s="313"/>
      <c r="HH47" s="313"/>
      <c r="HI47" s="313"/>
      <c r="HJ47" s="313"/>
      <c r="HK47" s="313"/>
      <c r="HL47" s="313"/>
    </row>
    <row r="48" spans="1:220" x14ac:dyDescent="0.2">
      <c r="A48" s="313" t="s">
        <v>100</v>
      </c>
      <c r="B48" s="313"/>
      <c r="C48" s="313"/>
      <c r="D48" s="217">
        <f>$N$30</f>
        <v>9.4</v>
      </c>
      <c r="E48" s="333" t="s">
        <v>92</v>
      </c>
      <c r="F48" s="334" t="s">
        <v>80</v>
      </c>
      <c r="G48" s="117"/>
      <c r="H48" s="118"/>
      <c r="I48" s="119">
        <f>'Rider Rates'!$B$87</f>
        <v>3.5344300000000002E-2</v>
      </c>
      <c r="J48" s="347">
        <f>SUM(H48:I48)</f>
        <v>3.5344300000000002E-2</v>
      </c>
      <c r="K48" s="335"/>
      <c r="L48" s="89"/>
      <c r="M48" s="89"/>
      <c r="N48" s="89">
        <f>ROUND(N$30*I48,2)</f>
        <v>0.33</v>
      </c>
      <c r="O48" s="128">
        <f t="shared" si="0"/>
        <v>0.33</v>
      </c>
      <c r="P48" s="92">
        <f>'Rider Rates'!$D$87</f>
        <v>45929</v>
      </c>
      <c r="Q48" s="101"/>
      <c r="R48" s="335"/>
      <c r="S48" s="95"/>
      <c r="T48" s="313"/>
      <c r="U48" s="96"/>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I48" s="313"/>
      <c r="CJ48" s="313"/>
      <c r="CK48" s="313"/>
      <c r="CL48" s="313"/>
      <c r="CM48" s="313"/>
      <c r="CN48" s="313"/>
      <c r="CO48" s="313"/>
      <c r="CP48" s="313"/>
      <c r="CQ48" s="313"/>
      <c r="CR48" s="313"/>
      <c r="CS48" s="313"/>
      <c r="CT48" s="313"/>
      <c r="CU48" s="313"/>
      <c r="CV48" s="313"/>
      <c r="CW48" s="313"/>
      <c r="CX48" s="313"/>
      <c r="CY48" s="313"/>
      <c r="CZ48" s="313"/>
      <c r="DA48" s="313"/>
      <c r="DB48" s="313"/>
      <c r="DC48" s="313"/>
      <c r="DD48" s="313"/>
      <c r="DE48" s="313"/>
      <c r="DF48" s="313"/>
      <c r="DG48" s="313"/>
      <c r="DH48" s="313"/>
      <c r="DI48" s="313"/>
      <c r="DJ48" s="313"/>
      <c r="DK48" s="313"/>
      <c r="DL48" s="313"/>
      <c r="DM48" s="313"/>
      <c r="DN48" s="313"/>
      <c r="DO48" s="313"/>
      <c r="DP48" s="313"/>
      <c r="DQ48" s="313"/>
      <c r="DR48" s="313"/>
      <c r="DS48" s="313"/>
      <c r="DT48" s="313"/>
      <c r="DU48" s="313"/>
      <c r="DV48" s="313"/>
      <c r="DW48" s="313"/>
      <c r="DX48" s="313"/>
      <c r="DY48" s="313"/>
      <c r="DZ48" s="313"/>
      <c r="EA48" s="313"/>
      <c r="EB48" s="313"/>
      <c r="EC48" s="313"/>
      <c r="ED48" s="313"/>
      <c r="EE48" s="313"/>
      <c r="EF48" s="313"/>
      <c r="EG48" s="313"/>
      <c r="EH48" s="313"/>
      <c r="EI48" s="313"/>
      <c r="EJ48" s="313"/>
      <c r="EK48" s="313"/>
      <c r="EL48" s="313"/>
      <c r="EM48" s="313"/>
      <c r="EN48" s="313"/>
      <c r="EO48" s="313"/>
      <c r="EP48" s="313"/>
      <c r="EQ48" s="313"/>
      <c r="ER48" s="313"/>
      <c r="ES48" s="313"/>
      <c r="ET48" s="313"/>
      <c r="EU48" s="313"/>
      <c r="EV48" s="313"/>
      <c r="EW48" s="313"/>
      <c r="EX48" s="313"/>
      <c r="EY48" s="313"/>
      <c r="EZ48" s="313"/>
      <c r="FA48" s="313"/>
      <c r="FB48" s="313"/>
      <c r="FC48" s="313"/>
      <c r="FD48" s="313"/>
      <c r="FE48" s="313"/>
      <c r="FF48" s="313"/>
      <c r="FG48" s="313"/>
      <c r="FH48" s="313"/>
      <c r="FI48" s="313"/>
      <c r="FJ48" s="313"/>
      <c r="FK48" s="313"/>
      <c r="FL48" s="313"/>
      <c r="FM48" s="313"/>
      <c r="FN48" s="313"/>
      <c r="FO48" s="313"/>
      <c r="FP48" s="313"/>
      <c r="FQ48" s="313"/>
      <c r="FR48" s="313"/>
      <c r="FS48" s="313"/>
      <c r="FT48" s="313"/>
      <c r="FU48" s="313"/>
      <c r="FV48" s="313"/>
      <c r="FW48" s="313"/>
      <c r="FX48" s="313"/>
      <c r="FY48" s="313"/>
      <c r="FZ48" s="313"/>
      <c r="GA48" s="313"/>
      <c r="GB48" s="313"/>
      <c r="GC48" s="313"/>
      <c r="GD48" s="313"/>
      <c r="GE48" s="313"/>
      <c r="GF48" s="313"/>
      <c r="GG48" s="313"/>
      <c r="GH48" s="313"/>
      <c r="GI48" s="313"/>
      <c r="GJ48" s="313"/>
      <c r="GK48" s="313"/>
      <c r="GL48" s="313"/>
      <c r="GM48" s="313"/>
      <c r="GN48" s="313"/>
      <c r="GO48" s="313"/>
      <c r="GP48" s="313"/>
      <c r="GQ48" s="313"/>
      <c r="GR48" s="313"/>
      <c r="GS48" s="313"/>
      <c r="GT48" s="313"/>
      <c r="GU48" s="313"/>
      <c r="GV48" s="313"/>
      <c r="GW48" s="313"/>
      <c r="GX48" s="313"/>
      <c r="GY48" s="313"/>
      <c r="GZ48" s="313"/>
      <c r="HA48" s="313"/>
      <c r="HB48" s="313"/>
      <c r="HC48" s="313"/>
      <c r="HD48" s="313"/>
      <c r="HE48" s="313"/>
      <c r="HF48" s="313"/>
      <c r="HG48" s="313"/>
      <c r="HH48" s="313"/>
      <c r="HI48" s="313"/>
      <c r="HJ48" s="313"/>
      <c r="HK48" s="313"/>
      <c r="HL48" s="313"/>
    </row>
    <row r="49" spans="1:221" x14ac:dyDescent="0.2">
      <c r="A49" s="313" t="s">
        <v>101</v>
      </c>
      <c r="B49" s="313"/>
      <c r="C49" s="313"/>
      <c r="D49" s="217">
        <f>$N$30</f>
        <v>9.4</v>
      </c>
      <c r="E49" s="333" t="s">
        <v>92</v>
      </c>
      <c r="F49" s="334" t="s">
        <v>80</v>
      </c>
      <c r="G49" s="120"/>
      <c r="H49" s="85"/>
      <c r="I49" s="119">
        <f>'Rider Rates'!$B$89</f>
        <v>7.8822199999999995E-2</v>
      </c>
      <c r="J49" s="347">
        <f>SUM(H49:I49)</f>
        <v>7.8822199999999995E-2</v>
      </c>
      <c r="K49" s="335"/>
      <c r="L49" s="89"/>
      <c r="M49" s="89"/>
      <c r="N49" s="89">
        <f>ROUND(N$30*I49,2)</f>
        <v>0.74</v>
      </c>
      <c r="O49" s="128">
        <f t="shared" si="0"/>
        <v>0.74</v>
      </c>
      <c r="P49" s="92">
        <f>'Rider Rates'!$D$89</f>
        <v>45987</v>
      </c>
      <c r="Q49" s="101"/>
      <c r="R49" s="335"/>
      <c r="S49" s="95"/>
      <c r="T49" s="313"/>
      <c r="U49" s="96"/>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c r="CW49" s="313"/>
      <c r="CX49" s="313"/>
      <c r="CY49" s="313"/>
      <c r="CZ49" s="313"/>
      <c r="DA49" s="313"/>
      <c r="DB49" s="313"/>
      <c r="DC49" s="313"/>
      <c r="DD49" s="313"/>
      <c r="DE49" s="313"/>
      <c r="DF49" s="313"/>
      <c r="DG49" s="313"/>
      <c r="DH49" s="313"/>
      <c r="DI49" s="313"/>
      <c r="DJ49" s="313"/>
      <c r="DK49" s="313"/>
      <c r="DL49" s="313"/>
      <c r="DM49" s="313"/>
      <c r="DN49" s="313"/>
      <c r="DO49" s="313"/>
      <c r="DP49" s="313"/>
      <c r="DQ49" s="313"/>
      <c r="DR49" s="313"/>
      <c r="DS49" s="313"/>
      <c r="DT49" s="31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S49" s="313"/>
      <c r="ET49" s="313"/>
      <c r="EU49" s="313"/>
      <c r="EV49" s="313"/>
      <c r="EW49" s="313"/>
      <c r="EX49" s="313"/>
      <c r="EY49" s="313"/>
      <c r="EZ49" s="313"/>
      <c r="FA49" s="313"/>
      <c r="FB49" s="313"/>
      <c r="FC49" s="313"/>
      <c r="FD49" s="313"/>
      <c r="FE49" s="313"/>
      <c r="FF49" s="313"/>
      <c r="FG49" s="313"/>
      <c r="FH49" s="313"/>
      <c r="FI49" s="313"/>
      <c r="FJ49" s="313"/>
      <c r="FK49" s="313"/>
      <c r="FL49" s="313"/>
      <c r="FM49" s="313"/>
      <c r="FN49" s="313"/>
      <c r="FO49" s="313"/>
      <c r="FP49" s="313"/>
      <c r="FQ49" s="313"/>
      <c r="FR49" s="313"/>
      <c r="FS49" s="313"/>
      <c r="FT49" s="313"/>
      <c r="FU49" s="313"/>
      <c r="FV49" s="313"/>
      <c r="FW49" s="313"/>
      <c r="FX49" s="313"/>
      <c r="FY49" s="313"/>
      <c r="FZ49" s="313"/>
      <c r="GA49" s="313"/>
      <c r="GB49" s="313"/>
      <c r="GC49" s="313"/>
      <c r="GD49" s="313"/>
      <c r="GE49" s="313"/>
      <c r="GF49" s="313"/>
      <c r="GG49" s="313"/>
      <c r="GH49" s="313"/>
      <c r="GI49" s="313"/>
      <c r="GJ49" s="313"/>
      <c r="GK49" s="313"/>
      <c r="GL49" s="313"/>
      <c r="GM49" s="313"/>
      <c r="GN49" s="313"/>
      <c r="GO49" s="313"/>
      <c r="GP49" s="313"/>
      <c r="GQ49" s="313"/>
      <c r="GR49" s="313"/>
      <c r="GS49" s="313"/>
      <c r="GT49" s="313"/>
      <c r="GU49" s="313"/>
      <c r="GV49" s="313"/>
      <c r="GW49" s="313"/>
      <c r="GX49" s="313"/>
      <c r="GY49" s="313"/>
      <c r="GZ49" s="313"/>
      <c r="HA49" s="313"/>
      <c r="HB49" s="313"/>
      <c r="HC49" s="313"/>
      <c r="HD49" s="313"/>
      <c r="HE49" s="313"/>
      <c r="HF49" s="313"/>
      <c r="HG49" s="313"/>
      <c r="HH49" s="313"/>
      <c r="HI49" s="313"/>
      <c r="HJ49" s="313"/>
      <c r="HK49" s="313"/>
      <c r="HL49" s="313"/>
    </row>
    <row r="50" spans="1:221" x14ac:dyDescent="0.2">
      <c r="A50" s="313" t="s">
        <v>102</v>
      </c>
      <c r="B50" s="313"/>
      <c r="C50" s="313"/>
      <c r="D50" s="113"/>
      <c r="E50" s="333" t="s">
        <v>55</v>
      </c>
      <c r="F50" s="334"/>
      <c r="G50" s="120"/>
      <c r="H50" s="85"/>
      <c r="I50" s="121">
        <f>'Rider Rates'!$B$93</f>
        <v>21.84</v>
      </c>
      <c r="J50" s="350">
        <f>SUM(G50:I50)</f>
        <v>21.84</v>
      </c>
      <c r="K50" s="335"/>
      <c r="L50" s="89"/>
      <c r="M50" s="89"/>
      <c r="N50" s="89">
        <f>I50</f>
        <v>21.84</v>
      </c>
      <c r="O50" s="89">
        <f t="shared" si="0"/>
        <v>21.84</v>
      </c>
      <c r="P50" s="92">
        <f>'Rider Rates'!$D$93</f>
        <v>46022</v>
      </c>
    </row>
    <row r="51" spans="1:221" x14ac:dyDescent="0.2">
      <c r="A51" s="313" t="s">
        <v>175</v>
      </c>
      <c r="B51" s="313"/>
      <c r="C51" s="313"/>
      <c r="D51" s="4">
        <f>$D$34</f>
        <v>0</v>
      </c>
      <c r="E51" s="333" t="s">
        <v>19</v>
      </c>
      <c r="F51" s="334" t="s">
        <v>80</v>
      </c>
      <c r="G51" s="100"/>
      <c r="H51" s="100"/>
      <c r="I51" s="100"/>
      <c r="J51" s="100">
        <v>0</v>
      </c>
      <c r="K51" s="335" t="s">
        <v>85</v>
      </c>
      <c r="L51" s="89"/>
      <c r="M51" s="89"/>
      <c r="N51" s="189"/>
      <c r="O51" s="89">
        <v>0</v>
      </c>
      <c r="P51" s="92">
        <f>'Rider Rates'!$D$98</f>
        <v>44531</v>
      </c>
      <c r="Q51" s="334"/>
      <c r="R51" s="101"/>
      <c r="S51" s="335"/>
      <c r="T51" s="95"/>
      <c r="U51" s="313"/>
      <c r="V51" s="96"/>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I51" s="313"/>
      <c r="CJ51" s="313"/>
      <c r="CK51" s="313"/>
      <c r="CL51" s="313"/>
      <c r="CM51" s="313"/>
      <c r="CN51" s="313"/>
      <c r="CO51" s="313"/>
      <c r="CP51" s="313"/>
      <c r="CQ51" s="313"/>
      <c r="CR51" s="313"/>
      <c r="CS51" s="313"/>
      <c r="CT51" s="313"/>
      <c r="CU51" s="313"/>
      <c r="CV51" s="313"/>
      <c r="CW51" s="313"/>
      <c r="CX51" s="313"/>
      <c r="CY51" s="313"/>
      <c r="CZ51" s="313"/>
      <c r="DA51" s="313"/>
      <c r="DB51" s="313"/>
      <c r="DC51" s="313"/>
      <c r="DD51" s="313"/>
      <c r="DE51" s="313"/>
      <c r="DF51" s="313"/>
      <c r="DG51" s="313"/>
      <c r="DH51" s="313"/>
      <c r="DI51" s="313"/>
      <c r="DJ51" s="313"/>
      <c r="DK51" s="313"/>
      <c r="DL51" s="313"/>
      <c r="DM51" s="313"/>
      <c r="DN51" s="313"/>
      <c r="DO51" s="313"/>
      <c r="DP51" s="313"/>
      <c r="DQ51" s="313"/>
      <c r="DR51" s="313"/>
      <c r="DS51" s="313"/>
      <c r="DT51" s="313"/>
      <c r="DU51" s="313"/>
      <c r="DV51" s="313"/>
      <c r="DW51" s="313"/>
      <c r="DX51" s="313"/>
      <c r="DY51" s="313"/>
      <c r="DZ51" s="313"/>
      <c r="EA51" s="313"/>
      <c r="EB51" s="313"/>
      <c r="EC51" s="313"/>
      <c r="ED51" s="313"/>
      <c r="EE51" s="313"/>
      <c r="EF51" s="313"/>
      <c r="EG51" s="313"/>
      <c r="EH51" s="313"/>
      <c r="EI51" s="313"/>
      <c r="EJ51" s="313"/>
      <c r="EK51" s="313"/>
      <c r="EL51" s="313"/>
      <c r="EM51" s="313"/>
      <c r="EN51" s="313"/>
      <c r="EO51" s="313"/>
      <c r="EP51" s="313"/>
      <c r="EQ51" s="313"/>
      <c r="ER51" s="313"/>
      <c r="ES51" s="313"/>
      <c r="ET51" s="313"/>
      <c r="EU51" s="313"/>
      <c r="EV51" s="313"/>
      <c r="EW51" s="313"/>
      <c r="EX51" s="313"/>
      <c r="EY51" s="313"/>
      <c r="EZ51" s="313"/>
      <c r="FA51" s="313"/>
      <c r="FB51" s="313"/>
      <c r="FC51" s="313"/>
      <c r="FD51" s="313"/>
      <c r="FE51" s="313"/>
      <c r="FF51" s="313"/>
      <c r="FG51" s="313"/>
      <c r="FH51" s="313"/>
      <c r="FI51" s="313"/>
      <c r="FJ51" s="313"/>
      <c r="FK51" s="313"/>
      <c r="FL51" s="313"/>
      <c r="FM51" s="313"/>
      <c r="FN51" s="313"/>
      <c r="FO51" s="313"/>
      <c r="FP51" s="313"/>
      <c r="FQ51" s="313"/>
      <c r="FR51" s="313"/>
      <c r="FS51" s="313"/>
      <c r="FT51" s="313"/>
      <c r="FU51" s="313"/>
      <c r="FV51" s="313"/>
      <c r="FW51" s="313"/>
      <c r="FX51" s="313"/>
      <c r="FY51" s="313"/>
      <c r="FZ51" s="313"/>
      <c r="GA51" s="313"/>
      <c r="GB51" s="313"/>
      <c r="GC51" s="313"/>
      <c r="GD51" s="313"/>
      <c r="GE51" s="313"/>
      <c r="GF51" s="313"/>
      <c r="GG51" s="313"/>
      <c r="GH51" s="313"/>
      <c r="GI51" s="313"/>
      <c r="GJ51" s="313"/>
      <c r="GK51" s="313"/>
      <c r="GL51" s="313"/>
      <c r="GM51" s="313"/>
      <c r="GN51" s="313"/>
      <c r="GO51" s="313"/>
      <c r="GP51" s="313"/>
      <c r="GQ51" s="313"/>
      <c r="GR51" s="313"/>
      <c r="GS51" s="313"/>
      <c r="GT51" s="313"/>
      <c r="GU51" s="313"/>
      <c r="GV51" s="313"/>
      <c r="GW51" s="313"/>
      <c r="GX51" s="313"/>
      <c r="GY51" s="313"/>
      <c r="GZ51" s="313"/>
      <c r="HA51" s="313"/>
      <c r="HB51" s="313"/>
      <c r="HC51" s="313"/>
      <c r="HD51" s="313"/>
      <c r="HE51" s="313"/>
      <c r="HF51" s="313"/>
      <c r="HG51" s="313"/>
      <c r="HH51" s="313"/>
      <c r="HI51" s="313"/>
      <c r="HJ51" s="313"/>
      <c r="HK51" s="313"/>
      <c r="HL51" s="313"/>
      <c r="HM51" s="313"/>
    </row>
    <row r="52" spans="1:221" x14ac:dyDescent="0.2">
      <c r="A52" s="313" t="s">
        <v>176</v>
      </c>
      <c r="B52" s="313"/>
      <c r="C52" s="313"/>
      <c r="D52" s="4">
        <f>$D$35</f>
        <v>0</v>
      </c>
      <c r="E52" s="333" t="s">
        <v>19</v>
      </c>
      <c r="F52" s="334" t="s">
        <v>80</v>
      </c>
      <c r="G52" s="100"/>
      <c r="H52" s="100"/>
      <c r="I52" s="100"/>
      <c r="J52" s="100">
        <v>0</v>
      </c>
      <c r="K52" s="335" t="s">
        <v>85</v>
      </c>
      <c r="L52" s="89"/>
      <c r="M52" s="89"/>
      <c r="N52" s="189"/>
      <c r="O52" s="89">
        <v>0</v>
      </c>
      <c r="P52" s="92">
        <f>'Rider Rates'!$D$99</f>
        <v>44531</v>
      </c>
      <c r="Q52" s="334"/>
      <c r="R52" s="101"/>
      <c r="S52" s="335"/>
      <c r="T52" s="95"/>
      <c r="U52" s="313"/>
      <c r="V52" s="96"/>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S52" s="313"/>
      <c r="ET52" s="313"/>
      <c r="EU52" s="313"/>
      <c r="EV52" s="313"/>
      <c r="EW52" s="313"/>
      <c r="EX52" s="313"/>
      <c r="EY52" s="313"/>
      <c r="EZ52" s="313"/>
      <c r="FA52" s="313"/>
      <c r="FB52" s="313"/>
      <c r="FC52" s="313"/>
      <c r="FD52" s="313"/>
      <c r="FE52" s="313"/>
      <c r="FF52" s="313"/>
      <c r="FG52" s="313"/>
      <c r="FH52" s="313"/>
      <c r="FI52" s="313"/>
      <c r="FJ52" s="313"/>
      <c r="FK52" s="313"/>
      <c r="FL52" s="313"/>
      <c r="FM52" s="313"/>
      <c r="FN52" s="313"/>
      <c r="FO52" s="313"/>
      <c r="FP52" s="313"/>
      <c r="FQ52" s="313"/>
      <c r="FR52" s="313"/>
      <c r="FS52" s="313"/>
      <c r="FT52" s="313"/>
      <c r="FU52" s="313"/>
      <c r="FV52" s="313"/>
      <c r="FW52" s="313"/>
      <c r="FX52" s="313"/>
      <c r="FY52" s="313"/>
      <c r="FZ52" s="313"/>
      <c r="GA52" s="313"/>
      <c r="GB52" s="313"/>
      <c r="GC52" s="313"/>
      <c r="GD52" s="313"/>
      <c r="GE52" s="313"/>
      <c r="GF52" s="313"/>
      <c r="GG52" s="313"/>
      <c r="GH52" s="313"/>
      <c r="GI52" s="313"/>
      <c r="GJ52" s="313"/>
      <c r="GK52" s="313"/>
      <c r="GL52" s="313"/>
      <c r="GM52" s="313"/>
      <c r="GN52" s="313"/>
      <c r="GO52" s="313"/>
      <c r="GP52" s="313"/>
      <c r="GQ52" s="313"/>
      <c r="GR52" s="313"/>
      <c r="GS52" s="313"/>
      <c r="GT52" s="313"/>
      <c r="GU52" s="313"/>
      <c r="GV52" s="313"/>
      <c r="GW52" s="313"/>
      <c r="GX52" s="313"/>
      <c r="GY52" s="313"/>
      <c r="GZ52" s="313"/>
      <c r="HA52" s="313"/>
      <c r="HB52" s="313"/>
      <c r="HC52" s="313"/>
      <c r="HD52" s="313"/>
      <c r="HE52" s="313"/>
      <c r="HF52" s="313"/>
      <c r="HG52" s="313"/>
      <c r="HH52" s="313"/>
      <c r="HI52" s="313"/>
      <c r="HJ52" s="313"/>
      <c r="HK52" s="313"/>
      <c r="HL52" s="313"/>
      <c r="HM52" s="313"/>
    </row>
    <row r="53" spans="1:221" x14ac:dyDescent="0.2">
      <c r="A53" s="313" t="s">
        <v>104</v>
      </c>
      <c r="B53" s="313"/>
      <c r="C53" s="313"/>
      <c r="D53" s="217">
        <f>$N$30</f>
        <v>9.4</v>
      </c>
      <c r="E53" s="333" t="s">
        <v>92</v>
      </c>
      <c r="F53" s="334" t="s">
        <v>80</v>
      </c>
      <c r="G53" s="120"/>
      <c r="H53" s="85"/>
      <c r="I53" s="119">
        <f>'Rider Rates'!$B$107</f>
        <v>0.24079249999999999</v>
      </c>
      <c r="J53" s="347">
        <f>SUM(H53:I53)</f>
        <v>0.24079249999999999</v>
      </c>
      <c r="K53" s="335"/>
      <c r="L53" s="89"/>
      <c r="M53" s="89"/>
      <c r="N53" s="89">
        <f>ROUND(N$30*I53,2)</f>
        <v>2.2599999999999998</v>
      </c>
      <c r="O53" s="89">
        <f t="shared" ref="O53:O60" si="1">SUM(L53:N53)</f>
        <v>2.2599999999999998</v>
      </c>
      <c r="P53" s="92">
        <f>'Rider Rates'!$D$107</f>
        <v>45987</v>
      </c>
      <c r="Q53" s="334"/>
      <c r="R53" s="101"/>
      <c r="S53" s="335"/>
      <c r="T53" s="95"/>
      <c r="U53" s="313"/>
      <c r="V53" s="96"/>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S53" s="313"/>
      <c r="ET53" s="313"/>
      <c r="EU53" s="313"/>
      <c r="EV53" s="313"/>
      <c r="EW53" s="313"/>
      <c r="EX53" s="313"/>
      <c r="EY53" s="313"/>
      <c r="EZ53" s="313"/>
      <c r="FA53" s="313"/>
      <c r="FB53" s="313"/>
      <c r="FC53" s="313"/>
      <c r="FD53" s="313"/>
      <c r="FE53" s="313"/>
      <c r="FF53" s="313"/>
      <c r="FG53" s="313"/>
      <c r="FH53" s="313"/>
      <c r="FI53" s="313"/>
      <c r="FJ53" s="313"/>
      <c r="FK53" s="313"/>
      <c r="FL53" s="313"/>
      <c r="FM53" s="313"/>
      <c r="FN53" s="313"/>
      <c r="FO53" s="313"/>
      <c r="FP53" s="313"/>
      <c r="FQ53" s="313"/>
      <c r="FR53" s="313"/>
      <c r="FS53" s="313"/>
      <c r="FT53" s="313"/>
      <c r="FU53" s="313"/>
      <c r="FV53" s="313"/>
      <c r="FW53" s="313"/>
      <c r="FX53" s="313"/>
      <c r="FY53" s="313"/>
      <c r="FZ53" s="313"/>
      <c r="GA53" s="313"/>
      <c r="GB53" s="313"/>
      <c r="GC53" s="313"/>
      <c r="GD53" s="313"/>
      <c r="GE53" s="313"/>
      <c r="GF53" s="313"/>
      <c r="GG53" s="313"/>
      <c r="GH53" s="313"/>
      <c r="GI53" s="313"/>
      <c r="GJ53" s="313"/>
      <c r="GK53" s="313"/>
      <c r="GL53" s="313"/>
      <c r="GM53" s="313"/>
      <c r="GN53" s="313"/>
      <c r="GO53" s="313"/>
      <c r="GP53" s="313"/>
      <c r="GQ53" s="313"/>
      <c r="GR53" s="313"/>
      <c r="GS53" s="313"/>
      <c r="GT53" s="313"/>
      <c r="GU53" s="313"/>
      <c r="GV53" s="313"/>
      <c r="GW53" s="313"/>
      <c r="GX53" s="313"/>
      <c r="GY53" s="313"/>
      <c r="GZ53" s="313"/>
      <c r="HA53" s="313"/>
      <c r="HB53" s="313"/>
      <c r="HC53" s="313"/>
      <c r="HD53" s="313"/>
      <c r="HE53" s="313"/>
      <c r="HF53" s="313"/>
      <c r="HG53" s="313"/>
      <c r="HH53" s="313"/>
      <c r="HI53" s="313"/>
      <c r="HJ53" s="313"/>
      <c r="HK53" s="313"/>
      <c r="HL53" s="313"/>
      <c r="HM53" s="313"/>
    </row>
    <row r="54" spans="1:221" x14ac:dyDescent="0.2">
      <c r="A54" s="313" t="s">
        <v>105</v>
      </c>
      <c r="B54" s="313"/>
      <c r="C54" s="313"/>
      <c r="D54" s="113"/>
      <c r="E54" s="333" t="s">
        <v>55</v>
      </c>
      <c r="F54" s="334"/>
      <c r="G54" s="120"/>
      <c r="H54" s="85"/>
      <c r="I54" s="123">
        <f>'Rider Rates'!B123</f>
        <v>0.99</v>
      </c>
      <c r="J54" s="350">
        <f>SUM(G54:I54)</f>
        <v>0.99</v>
      </c>
      <c r="K54" s="335"/>
      <c r="L54" s="89"/>
      <c r="M54" s="89"/>
      <c r="N54" s="125">
        <f>I54</f>
        <v>0.99</v>
      </c>
      <c r="O54" s="89">
        <f t="shared" si="1"/>
        <v>0.99</v>
      </c>
      <c r="P54" s="92">
        <f>'Rider Rates'!D123</f>
        <v>45958</v>
      </c>
      <c r="Q54" s="334"/>
      <c r="R54" s="101"/>
      <c r="S54" s="335"/>
      <c r="T54" s="95"/>
      <c r="U54" s="313"/>
      <c r="V54" s="96"/>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S54" s="313"/>
      <c r="ET54" s="313"/>
      <c r="EU54" s="313"/>
      <c r="EV54" s="313"/>
      <c r="EW54" s="313"/>
      <c r="EX54" s="313"/>
      <c r="EY54" s="313"/>
      <c r="EZ54" s="313"/>
      <c r="FA54" s="313"/>
      <c r="FB54" s="313"/>
      <c r="FC54" s="313"/>
      <c r="FD54" s="313"/>
      <c r="FE54" s="313"/>
      <c r="FF54" s="313"/>
      <c r="FG54" s="313"/>
      <c r="FH54" s="313"/>
      <c r="FI54" s="313"/>
      <c r="FJ54" s="313"/>
      <c r="FK54" s="313"/>
      <c r="FL54" s="313"/>
      <c r="FM54" s="313"/>
      <c r="FN54" s="313"/>
      <c r="FO54" s="313"/>
      <c r="FP54" s="313"/>
      <c r="FQ54" s="313"/>
      <c r="FR54" s="313"/>
      <c r="FS54" s="313"/>
      <c r="FT54" s="313"/>
      <c r="FU54" s="313"/>
      <c r="FV54" s="313"/>
      <c r="FW54" s="313"/>
      <c r="FX54" s="313"/>
      <c r="FY54" s="313"/>
      <c r="FZ54" s="313"/>
      <c r="GA54" s="313"/>
      <c r="GB54" s="313"/>
      <c r="GC54" s="313"/>
      <c r="GD54" s="313"/>
      <c r="GE54" s="313"/>
      <c r="GF54" s="313"/>
      <c r="GG54" s="313"/>
      <c r="GH54" s="313"/>
      <c r="GI54" s="313"/>
      <c r="GJ54" s="313"/>
      <c r="GK54" s="313"/>
      <c r="GL54" s="313"/>
      <c r="GM54" s="313"/>
      <c r="GN54" s="313"/>
      <c r="GO54" s="313"/>
      <c r="GP54" s="313"/>
      <c r="GQ54" s="313"/>
      <c r="GR54" s="313"/>
      <c r="GS54" s="313"/>
      <c r="GT54" s="313"/>
      <c r="GU54" s="313"/>
      <c r="GV54" s="313"/>
      <c r="GW54" s="313"/>
      <c r="GX54" s="313"/>
      <c r="GY54" s="313"/>
      <c r="GZ54" s="313"/>
      <c r="HA54" s="313"/>
      <c r="HB54" s="313"/>
      <c r="HC54" s="313"/>
      <c r="HD54" s="313"/>
      <c r="HE54" s="313"/>
      <c r="HF54" s="313"/>
      <c r="HG54" s="313"/>
      <c r="HH54" s="313"/>
      <c r="HI54" s="313"/>
      <c r="HJ54" s="313"/>
      <c r="HK54" s="313"/>
      <c r="HL54" s="313"/>
      <c r="HM54" s="313"/>
    </row>
    <row r="55" spans="1:221" x14ac:dyDescent="0.2">
      <c r="A55" s="313" t="s">
        <v>106</v>
      </c>
      <c r="B55" s="313"/>
      <c r="C55" s="313"/>
      <c r="D55" s="111">
        <f>IF('Customer Info'!$C$33=TRUE,0,'Customer Info'!$B$22+'Customer Info'!$B$23-'Customer Info'!$B$24)</f>
        <v>0</v>
      </c>
      <c r="E55" s="333" t="s">
        <v>19</v>
      </c>
      <c r="F55" s="334" t="s">
        <v>80</v>
      </c>
      <c r="G55" s="100">
        <f>'Rider Rates'!$B$113</f>
        <v>3.8972999999999998E-3</v>
      </c>
      <c r="H55" s="100"/>
      <c r="I55" s="119"/>
      <c r="J55" s="348">
        <f>SUM(G55:H55)</f>
        <v>3.8972999999999998E-3</v>
      </c>
      <c r="K55" s="335" t="s">
        <v>85</v>
      </c>
      <c r="L55" s="89">
        <f>ROUND(D55*G55,2)</f>
        <v>0</v>
      </c>
      <c r="M55" s="89"/>
      <c r="N55" s="89"/>
      <c r="O55" s="89">
        <f t="shared" si="1"/>
        <v>0</v>
      </c>
      <c r="P55" s="92">
        <f>'Rider Rates'!$D$114</f>
        <v>44531</v>
      </c>
      <c r="Q55" s="334"/>
      <c r="R55" s="101"/>
      <c r="S55" s="335"/>
      <c r="T55" s="95"/>
      <c r="U55" s="313"/>
      <c r="V55" s="96"/>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313"/>
      <c r="DB55" s="313"/>
      <c r="DC55" s="313"/>
      <c r="DD55" s="313"/>
      <c r="DE55" s="313"/>
      <c r="DF55" s="313"/>
      <c r="DG55" s="313"/>
      <c r="DH55" s="313"/>
      <c r="DI55" s="313"/>
      <c r="DJ55" s="313"/>
      <c r="DK55" s="313"/>
      <c r="DL55" s="313"/>
      <c r="DM55" s="313"/>
      <c r="DN55" s="313"/>
      <c r="DO55" s="313"/>
      <c r="DP55" s="313"/>
      <c r="DQ55" s="313"/>
      <c r="DR55" s="313"/>
      <c r="DS55" s="313"/>
      <c r="DT55" s="313"/>
      <c r="DU55" s="313"/>
      <c r="DV55" s="313"/>
      <c r="DW55" s="313"/>
      <c r="DX55" s="313"/>
      <c r="DY55" s="313"/>
      <c r="DZ55" s="313"/>
      <c r="EA55" s="313"/>
      <c r="EB55" s="313"/>
      <c r="EC55" s="313"/>
      <c r="ED55" s="313"/>
      <c r="EE55" s="313"/>
      <c r="EF55" s="313"/>
      <c r="EG55" s="313"/>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313"/>
      <c r="FW55" s="313"/>
      <c r="FX55" s="313"/>
      <c r="FY55" s="313"/>
      <c r="FZ55" s="313"/>
      <c r="GA55" s="313"/>
      <c r="GB55" s="313"/>
      <c r="GC55" s="313"/>
      <c r="GD55" s="313"/>
      <c r="GE55" s="313"/>
      <c r="GF55" s="313"/>
      <c r="GG55" s="313"/>
      <c r="GH55" s="313"/>
      <c r="GI55" s="313"/>
      <c r="GJ55" s="313"/>
      <c r="GK55" s="313"/>
      <c r="GL55" s="313"/>
      <c r="GM55" s="313"/>
      <c r="GN55" s="313"/>
      <c r="GO55" s="313"/>
      <c r="GP55" s="313"/>
      <c r="GQ55" s="313"/>
      <c r="GR55" s="313"/>
      <c r="GS55" s="313"/>
      <c r="GT55" s="313"/>
      <c r="GU55" s="313"/>
      <c r="GV55" s="313"/>
      <c r="GW55" s="313"/>
      <c r="GX55" s="313"/>
      <c r="GY55" s="313"/>
      <c r="GZ55" s="313"/>
      <c r="HA55" s="313"/>
      <c r="HB55" s="313"/>
      <c r="HC55" s="313"/>
      <c r="HD55" s="313"/>
      <c r="HE55" s="313"/>
      <c r="HF55" s="313"/>
      <c r="HG55" s="313"/>
      <c r="HH55" s="313"/>
      <c r="HI55" s="313"/>
      <c r="HJ55" s="313"/>
      <c r="HK55" s="313"/>
      <c r="HL55" s="313"/>
      <c r="HM55" s="313"/>
    </row>
    <row r="56" spans="1:221" x14ac:dyDescent="0.2">
      <c r="A56" s="313" t="s">
        <v>107</v>
      </c>
      <c r="B56" s="313"/>
      <c r="C56" s="313"/>
      <c r="D56" s="4">
        <f>IF($C$16&lt;1,0,$C$16)</f>
        <v>0</v>
      </c>
      <c r="E56" s="333" t="s">
        <v>19</v>
      </c>
      <c r="F56" s="334" t="s">
        <v>80</v>
      </c>
      <c r="G56" s="99"/>
      <c r="H56" s="99"/>
      <c r="I56" s="183">
        <f>'Rider Rates'!B119</f>
        <v>0</v>
      </c>
      <c r="J56" s="183">
        <f>SUM(G56:I56)</f>
        <v>0</v>
      </c>
      <c r="K56" s="335" t="s">
        <v>85</v>
      </c>
      <c r="L56" s="89"/>
      <c r="M56" s="89"/>
      <c r="N56" s="89">
        <f>D56*I56</f>
        <v>0</v>
      </c>
      <c r="O56" s="89">
        <f t="shared" si="1"/>
        <v>0</v>
      </c>
      <c r="P56" s="92">
        <f>'Rider Rates'!D119</f>
        <v>45657</v>
      </c>
      <c r="Q56" s="334"/>
      <c r="R56" s="101"/>
      <c r="S56" s="335"/>
      <c r="T56" s="95"/>
      <c r="U56" s="313"/>
      <c r="V56" s="96"/>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I56" s="313"/>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313"/>
      <c r="ED56" s="313"/>
      <c r="EE56" s="313"/>
      <c r="EF56" s="313"/>
      <c r="EG56" s="313"/>
      <c r="EH56" s="313"/>
      <c r="EI56" s="313"/>
      <c r="EJ56" s="313"/>
      <c r="EK56" s="313"/>
      <c r="EL56" s="313"/>
      <c r="EM56" s="313"/>
      <c r="EN56" s="313"/>
      <c r="EO56" s="313"/>
      <c r="EP56" s="313"/>
      <c r="EQ56" s="313"/>
      <c r="ER56" s="313"/>
      <c r="ES56" s="313"/>
      <c r="ET56" s="313"/>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row>
    <row r="57" spans="1:221" x14ac:dyDescent="0.2">
      <c r="A57" s="313" t="s">
        <v>166</v>
      </c>
      <c r="B57" s="313"/>
      <c r="C57" s="313"/>
      <c r="D57" s="111">
        <f>IF(C16&lt;0,0,IF(C16&gt;833000,833000,C16))</f>
        <v>0</v>
      </c>
      <c r="E57" s="333" t="s">
        <v>19</v>
      </c>
      <c r="F57" s="334" t="s">
        <v>80</v>
      </c>
      <c r="G57" s="195"/>
      <c r="H57" s="195"/>
      <c r="I57" s="195">
        <f>'Rider Rates'!$B$127</f>
        <v>0</v>
      </c>
      <c r="J57" s="351">
        <f>SUM(G57:I57)</f>
        <v>0</v>
      </c>
      <c r="K57" s="335" t="s">
        <v>85</v>
      </c>
      <c r="L57" s="352"/>
      <c r="M57" s="352"/>
      <c r="N57" s="352">
        <f>IF(D57*J57&gt;'Rider Rates'!$C$127,'Rider Rates'!$C$127,D57*J57)</f>
        <v>0</v>
      </c>
      <c r="O57" s="352">
        <f t="shared" si="1"/>
        <v>0</v>
      </c>
      <c r="P57" s="129">
        <f>'Rider Rates'!$E$127</f>
        <v>45883</v>
      </c>
      <c r="Q57" s="334"/>
      <c r="R57" s="101"/>
      <c r="S57" s="335"/>
      <c r="T57" s="95"/>
      <c r="U57" s="313"/>
      <c r="V57" s="96"/>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I57" s="313"/>
      <c r="CJ57" s="313"/>
      <c r="CK57" s="313"/>
      <c r="CL57" s="313"/>
      <c r="CM57" s="313"/>
      <c r="CN57" s="313"/>
      <c r="CO57" s="313"/>
      <c r="CP57" s="313"/>
      <c r="CQ57" s="313"/>
      <c r="CR57" s="313"/>
      <c r="CS57" s="313"/>
      <c r="CT57" s="313"/>
      <c r="CU57" s="313"/>
      <c r="CV57" s="313"/>
      <c r="CW57" s="313"/>
      <c r="CX57" s="313"/>
      <c r="CY57" s="313"/>
      <c r="CZ57" s="313"/>
      <c r="DA57" s="313"/>
      <c r="DB57" s="313"/>
      <c r="DC57" s="313"/>
      <c r="DD57" s="313"/>
      <c r="DE57" s="313"/>
      <c r="DF57" s="313"/>
      <c r="DG57" s="313"/>
      <c r="DH57" s="313"/>
      <c r="DI57" s="313"/>
      <c r="DJ57" s="313"/>
      <c r="DK57" s="313"/>
      <c r="DL57" s="313"/>
      <c r="DM57" s="313"/>
      <c r="DN57" s="313"/>
      <c r="DO57" s="313"/>
      <c r="DP57" s="313"/>
      <c r="DQ57" s="313"/>
      <c r="DR57" s="313"/>
      <c r="DS57" s="313"/>
      <c r="DT57" s="313"/>
      <c r="DU57" s="313"/>
      <c r="DV57" s="313"/>
      <c r="DW57" s="313"/>
      <c r="DX57" s="313"/>
      <c r="DY57" s="313"/>
      <c r="DZ57" s="313"/>
      <c r="EA57" s="313"/>
      <c r="EB57" s="313"/>
      <c r="EC57" s="313"/>
      <c r="ED57" s="313"/>
      <c r="EE57" s="313"/>
      <c r="EF57" s="313"/>
      <c r="EG57" s="313"/>
      <c r="EH57" s="313"/>
      <c r="EI57" s="313"/>
      <c r="EJ57" s="313"/>
      <c r="EK57" s="313"/>
      <c r="EL57" s="313"/>
      <c r="EM57" s="313"/>
      <c r="EN57" s="313"/>
      <c r="EO57" s="313"/>
      <c r="EP57" s="313"/>
      <c r="EQ57" s="313"/>
      <c r="ER57" s="313"/>
      <c r="ES57" s="313"/>
      <c r="ET57" s="313"/>
      <c r="EU57" s="313"/>
      <c r="EV57" s="313"/>
      <c r="EW57" s="313"/>
      <c r="EX57" s="313"/>
      <c r="EY57" s="313"/>
      <c r="EZ57" s="313"/>
      <c r="FA57" s="313"/>
      <c r="FB57" s="313"/>
      <c r="FC57" s="313"/>
      <c r="FD57" s="313"/>
      <c r="FE57" s="313"/>
      <c r="FF57" s="313"/>
      <c r="FG57" s="313"/>
      <c r="FH57" s="313"/>
      <c r="FI57" s="313"/>
      <c r="FJ57" s="313"/>
      <c r="FK57" s="313"/>
      <c r="FL57" s="313"/>
      <c r="FM57" s="313"/>
      <c r="FN57" s="313"/>
      <c r="FO57" s="313"/>
      <c r="FP57" s="313"/>
      <c r="FQ57" s="313"/>
      <c r="FR57" s="313"/>
      <c r="FS57" s="313"/>
      <c r="FT57" s="313"/>
      <c r="FU57" s="313"/>
      <c r="FV57" s="313"/>
      <c r="FW57" s="313"/>
      <c r="FX57" s="313"/>
      <c r="FY57" s="313"/>
      <c r="FZ57" s="313"/>
      <c r="GA57" s="313"/>
      <c r="GB57" s="313"/>
      <c r="GC57" s="313"/>
      <c r="GD57" s="313"/>
      <c r="GE57" s="313"/>
      <c r="GF57" s="313"/>
      <c r="GG57" s="313"/>
      <c r="GH57" s="313"/>
      <c r="GI57" s="313"/>
      <c r="GJ57" s="313"/>
      <c r="GK57" s="313"/>
      <c r="GL57" s="313"/>
      <c r="GM57" s="313"/>
      <c r="GN57" s="313"/>
      <c r="GO57" s="313"/>
      <c r="GP57" s="313"/>
      <c r="GQ57" s="313"/>
      <c r="GR57" s="313"/>
      <c r="GS57" s="313"/>
      <c r="GT57" s="313"/>
      <c r="GU57" s="313"/>
      <c r="GV57" s="313"/>
      <c r="GW57" s="313"/>
      <c r="GX57" s="313"/>
      <c r="GY57" s="313"/>
      <c r="GZ57" s="313"/>
      <c r="HA57" s="313"/>
      <c r="HB57" s="313"/>
      <c r="HC57" s="313"/>
      <c r="HD57" s="313"/>
      <c r="HE57" s="313"/>
      <c r="HF57" s="313"/>
      <c r="HG57" s="313"/>
      <c r="HH57" s="313"/>
      <c r="HI57" s="313"/>
      <c r="HJ57" s="313"/>
      <c r="HK57" s="313"/>
      <c r="HL57" s="313"/>
      <c r="HM57" s="313"/>
    </row>
    <row r="58" spans="1:221" x14ac:dyDescent="0.2">
      <c r="A58" s="313" t="s">
        <v>167</v>
      </c>
      <c r="B58" s="313"/>
      <c r="C58" s="313"/>
      <c r="D58" s="4">
        <f>IF(C16&gt;833000,C16-833000,0)</f>
        <v>0</v>
      </c>
      <c r="E58" s="333" t="s">
        <v>19</v>
      </c>
      <c r="F58" s="334" t="s">
        <v>80</v>
      </c>
      <c r="G58" s="195"/>
      <c r="H58" s="195"/>
      <c r="I58" s="195">
        <f>'Rider Rates'!$B$128</f>
        <v>0</v>
      </c>
      <c r="J58" s="351">
        <f>SUM(G58:I58)</f>
        <v>0</v>
      </c>
      <c r="K58" s="335" t="s">
        <v>85</v>
      </c>
      <c r="L58" s="352"/>
      <c r="M58" s="352"/>
      <c r="N58" s="352">
        <f>D58*J58</f>
        <v>0</v>
      </c>
      <c r="O58" s="352">
        <f t="shared" si="1"/>
        <v>0</v>
      </c>
      <c r="P58" s="129">
        <f>'Rider Rates'!$E$128</f>
        <v>45883</v>
      </c>
      <c r="Q58" s="334"/>
      <c r="R58" s="101"/>
      <c r="S58" s="335"/>
      <c r="T58" s="95"/>
      <c r="U58" s="313"/>
      <c r="V58" s="96"/>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c r="EA58" s="313"/>
      <c r="EB58" s="313"/>
      <c r="EC58" s="313"/>
      <c r="ED58" s="313"/>
      <c r="EE58" s="313"/>
      <c r="EF58" s="313"/>
      <c r="EG58" s="313"/>
      <c r="EH58" s="313"/>
      <c r="EI58" s="313"/>
      <c r="EJ58" s="313"/>
      <c r="EK58" s="313"/>
      <c r="EL58" s="313"/>
      <c r="EM58" s="313"/>
      <c r="EN58" s="313"/>
      <c r="EO58" s="313"/>
      <c r="EP58" s="313"/>
      <c r="EQ58" s="313"/>
      <c r="ER58" s="313"/>
      <c r="ES58" s="313"/>
      <c r="ET58" s="313"/>
      <c r="EU58" s="313"/>
      <c r="EV58" s="313"/>
      <c r="EW58" s="313"/>
      <c r="EX58" s="313"/>
      <c r="EY58" s="313"/>
      <c r="EZ58" s="313"/>
      <c r="FA58" s="313"/>
      <c r="FB58" s="313"/>
      <c r="FC58" s="313"/>
      <c r="FD58" s="313"/>
      <c r="FE58" s="313"/>
      <c r="FF58" s="313"/>
      <c r="FG58" s="313"/>
      <c r="FH58" s="313"/>
      <c r="FI58" s="313"/>
      <c r="FJ58" s="313"/>
      <c r="FK58" s="313"/>
      <c r="FL58" s="313"/>
      <c r="FM58" s="313"/>
      <c r="FN58" s="313"/>
      <c r="FO58" s="313"/>
      <c r="FP58" s="313"/>
      <c r="FQ58" s="313"/>
      <c r="FR58" s="313"/>
      <c r="FS58" s="313"/>
      <c r="FT58" s="313"/>
      <c r="FU58" s="313"/>
      <c r="FV58" s="313"/>
      <c r="FW58" s="313"/>
      <c r="FX58" s="313"/>
      <c r="FY58" s="313"/>
      <c r="FZ58" s="313"/>
      <c r="GA58" s="313"/>
      <c r="GB58" s="313"/>
      <c r="GC58" s="313"/>
      <c r="GD58" s="313"/>
      <c r="GE58" s="313"/>
      <c r="GF58" s="313"/>
      <c r="GG58" s="313"/>
      <c r="GH58" s="313"/>
      <c r="GI58" s="313"/>
      <c r="GJ58" s="313"/>
      <c r="GK58" s="313"/>
      <c r="GL58" s="313"/>
      <c r="GM58" s="313"/>
      <c r="GN58" s="313"/>
      <c r="GO58" s="313"/>
      <c r="GP58" s="313"/>
      <c r="GQ58" s="313"/>
      <c r="GR58" s="313"/>
      <c r="GS58" s="313"/>
      <c r="GT58" s="313"/>
      <c r="GU58" s="313"/>
      <c r="GV58" s="313"/>
      <c r="GW58" s="313"/>
      <c r="GX58" s="313"/>
      <c r="GY58" s="313"/>
      <c r="GZ58" s="313"/>
      <c r="HA58" s="313"/>
      <c r="HB58" s="313"/>
      <c r="HC58" s="313"/>
      <c r="HD58" s="313"/>
      <c r="HE58" s="313"/>
      <c r="HF58" s="313"/>
      <c r="HG58" s="313"/>
      <c r="HH58" s="313"/>
      <c r="HI58" s="313"/>
      <c r="HJ58" s="313"/>
      <c r="HK58" s="313"/>
      <c r="HL58" s="313"/>
      <c r="HM58" s="313"/>
    </row>
    <row r="59" spans="1:221" x14ac:dyDescent="0.2">
      <c r="A59" s="313" t="s">
        <v>109</v>
      </c>
      <c r="B59" s="313"/>
      <c r="C59" s="313"/>
      <c r="D59" s="111">
        <f>D16</f>
        <v>0</v>
      </c>
      <c r="E59" s="333" t="s">
        <v>19</v>
      </c>
      <c r="F59" s="334" t="s">
        <v>80</v>
      </c>
      <c r="G59" s="100"/>
      <c r="H59" s="100"/>
      <c r="I59" s="100">
        <f>'Rider Rates'!$B$132</f>
        <v>0</v>
      </c>
      <c r="J59" s="348">
        <f>SUM(G59:I59)</f>
        <v>0</v>
      </c>
      <c r="K59" s="335" t="s">
        <v>85</v>
      </c>
      <c r="L59" s="89"/>
      <c r="M59" s="89"/>
      <c r="N59" s="89">
        <f>D59*J59</f>
        <v>0</v>
      </c>
      <c r="O59" s="89">
        <f t="shared" si="1"/>
        <v>0</v>
      </c>
      <c r="P59" s="92">
        <f>'Rider Rates'!$D$132</f>
        <v>44531</v>
      </c>
      <c r="Q59" s="334"/>
      <c r="R59" s="101"/>
      <c r="S59" s="335"/>
      <c r="T59" s="95"/>
      <c r="U59" s="313"/>
      <c r="V59" s="96"/>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I59" s="313"/>
      <c r="CJ59" s="313"/>
      <c r="CK59" s="313"/>
      <c r="CL59" s="313"/>
      <c r="CM59" s="313"/>
      <c r="CN59" s="313"/>
      <c r="CO59" s="313"/>
      <c r="CP59" s="313"/>
      <c r="CQ59" s="313"/>
      <c r="CR59" s="313"/>
      <c r="CS59" s="313"/>
      <c r="CT59" s="313"/>
      <c r="CU59" s="313"/>
      <c r="CV59" s="313"/>
      <c r="CW59" s="313"/>
      <c r="CX59" s="313"/>
      <c r="CY59" s="313"/>
      <c r="CZ59" s="313"/>
      <c r="DA59" s="313"/>
      <c r="DB59" s="313"/>
      <c r="DC59" s="313"/>
      <c r="DD59" s="313"/>
      <c r="DE59" s="313"/>
      <c r="DF59" s="313"/>
      <c r="DG59" s="313"/>
      <c r="DH59" s="313"/>
      <c r="DI59" s="313"/>
      <c r="DJ59" s="313"/>
      <c r="DK59" s="313"/>
      <c r="DL59" s="313"/>
      <c r="DM59" s="313"/>
      <c r="DN59" s="313"/>
      <c r="DO59" s="313"/>
      <c r="DP59" s="313"/>
      <c r="DQ59" s="313"/>
      <c r="DR59" s="313"/>
      <c r="DS59" s="313"/>
      <c r="DT59" s="313"/>
      <c r="DU59" s="313"/>
      <c r="DV59" s="313"/>
      <c r="DW59" s="313"/>
      <c r="DX59" s="313"/>
      <c r="DY59" s="313"/>
      <c r="DZ59" s="313"/>
      <c r="EA59" s="313"/>
      <c r="EB59" s="313"/>
      <c r="EC59" s="313"/>
      <c r="ED59" s="313"/>
      <c r="EE59" s="313"/>
      <c r="EF59" s="313"/>
      <c r="EG59" s="313"/>
      <c r="EH59" s="313"/>
      <c r="EI59" s="313"/>
      <c r="EJ59" s="313"/>
      <c r="EK59" s="313"/>
      <c r="EL59" s="313"/>
      <c r="EM59" s="313"/>
      <c r="EN59" s="313"/>
      <c r="EO59" s="313"/>
      <c r="EP59" s="313"/>
      <c r="EQ59" s="313"/>
      <c r="ER59" s="313"/>
      <c r="ES59" s="313"/>
      <c r="ET59" s="313"/>
      <c r="EU59" s="313"/>
      <c r="EV59" s="313"/>
      <c r="EW59" s="313"/>
      <c r="EX59" s="313"/>
      <c r="EY59" s="313"/>
      <c r="EZ59" s="313"/>
      <c r="FA59" s="313"/>
      <c r="FB59" s="313"/>
      <c r="FC59" s="313"/>
      <c r="FD59" s="313"/>
      <c r="FE59" s="313"/>
      <c r="FF59" s="313"/>
      <c r="FG59" s="313"/>
      <c r="FH59" s="313"/>
      <c r="FI59" s="313"/>
      <c r="FJ59" s="313"/>
      <c r="FK59" s="313"/>
      <c r="FL59" s="313"/>
      <c r="FM59" s="313"/>
      <c r="FN59" s="313"/>
      <c r="FO59" s="313"/>
      <c r="FP59" s="313"/>
      <c r="FQ59" s="313"/>
      <c r="FR59" s="313"/>
      <c r="FS59" s="313"/>
      <c r="FT59" s="313"/>
      <c r="FU59" s="313"/>
      <c r="FV59" s="313"/>
      <c r="FW59" s="313"/>
      <c r="FX59" s="313"/>
      <c r="FY59" s="313"/>
      <c r="FZ59" s="313"/>
      <c r="GA59" s="313"/>
      <c r="GB59" s="313"/>
      <c r="GC59" s="313"/>
      <c r="GD59" s="313"/>
      <c r="GE59" s="313"/>
      <c r="GF59" s="313"/>
      <c r="GG59" s="313"/>
      <c r="GH59" s="313"/>
      <c r="GI59" s="313"/>
      <c r="GJ59" s="313"/>
      <c r="GK59" s="313"/>
      <c r="GL59" s="313"/>
      <c r="GM59" s="313"/>
      <c r="GN59" s="313"/>
      <c r="GO59" s="313"/>
      <c r="GP59" s="313"/>
      <c r="GQ59" s="313"/>
      <c r="GR59" s="313"/>
      <c r="GS59" s="313"/>
      <c r="GT59" s="313"/>
      <c r="GU59" s="313"/>
      <c r="GV59" s="313"/>
      <c r="GW59" s="313"/>
      <c r="GX59" s="313"/>
      <c r="GY59" s="313"/>
      <c r="GZ59" s="313"/>
      <c r="HA59" s="313"/>
      <c r="HB59" s="313"/>
      <c r="HC59" s="313"/>
      <c r="HD59" s="313"/>
      <c r="HE59" s="313"/>
      <c r="HF59" s="313"/>
      <c r="HG59" s="313"/>
      <c r="HH59" s="313"/>
      <c r="HI59" s="313"/>
      <c r="HJ59" s="313"/>
      <c r="HK59" s="313"/>
      <c r="HL59" s="313"/>
      <c r="HM59" s="313"/>
    </row>
    <row r="60" spans="1:221" x14ac:dyDescent="0.2">
      <c r="A60" s="313" t="s">
        <v>110</v>
      </c>
      <c r="B60" s="313"/>
      <c r="C60" s="313"/>
      <c r="D60" s="353"/>
      <c r="E60" s="333" t="s">
        <v>55</v>
      </c>
      <c r="F60" s="334" t="s">
        <v>80</v>
      </c>
      <c r="G60" s="127"/>
      <c r="H60" s="127"/>
      <c r="I60" s="127">
        <f>'Rider Rates'!$B$139</f>
        <v>0</v>
      </c>
      <c r="J60" s="127">
        <f>SUM(G60:I60)</f>
        <v>0</v>
      </c>
      <c r="K60" s="335"/>
      <c r="L60" s="128"/>
      <c r="M60" s="128"/>
      <c r="N60" s="128">
        <f>J60</f>
        <v>0</v>
      </c>
      <c r="O60" s="128">
        <f t="shared" si="1"/>
        <v>0</v>
      </c>
      <c r="P60" s="129">
        <f>'Rider Rates'!$D$139</f>
        <v>44531</v>
      </c>
      <c r="Q60" s="334"/>
      <c r="R60" s="101"/>
      <c r="S60" s="335"/>
      <c r="T60" s="95"/>
      <c r="U60" s="313"/>
      <c r="V60" s="96"/>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I60" s="313"/>
      <c r="CJ60" s="313"/>
      <c r="CK60" s="313"/>
      <c r="CL60" s="313"/>
      <c r="CM60" s="313"/>
      <c r="CN60" s="313"/>
      <c r="CO60" s="313"/>
      <c r="CP60" s="313"/>
      <c r="CQ60" s="313"/>
      <c r="CR60" s="313"/>
      <c r="CS60" s="313"/>
      <c r="CT60" s="313"/>
      <c r="CU60" s="313"/>
      <c r="CV60" s="313"/>
      <c r="CW60" s="313"/>
      <c r="CX60" s="313"/>
      <c r="CY60" s="313"/>
      <c r="CZ60" s="313"/>
      <c r="DA60" s="313"/>
      <c r="DB60" s="313"/>
      <c r="DC60" s="313"/>
      <c r="DD60" s="313"/>
      <c r="DE60" s="313"/>
      <c r="DF60" s="313"/>
      <c r="DG60" s="313"/>
      <c r="DH60" s="313"/>
      <c r="DI60" s="313"/>
      <c r="DJ60" s="313"/>
      <c r="DK60" s="313"/>
      <c r="DL60" s="313"/>
      <c r="DM60" s="313"/>
      <c r="DN60" s="313"/>
      <c r="DO60" s="313"/>
      <c r="DP60" s="313"/>
      <c r="DQ60" s="313"/>
      <c r="DR60" s="313"/>
      <c r="DS60" s="313"/>
      <c r="DT60" s="313"/>
      <c r="DU60" s="313"/>
      <c r="DV60" s="313"/>
      <c r="DW60" s="313"/>
      <c r="DX60" s="313"/>
      <c r="DY60" s="313"/>
      <c r="DZ60" s="313"/>
      <c r="EA60" s="313"/>
      <c r="EB60" s="313"/>
      <c r="EC60" s="313"/>
      <c r="ED60" s="313"/>
      <c r="EE60" s="313"/>
      <c r="EF60" s="313"/>
      <c r="EG60" s="313"/>
      <c r="EH60" s="313"/>
      <c r="EI60" s="313"/>
      <c r="EJ60" s="313"/>
      <c r="EK60" s="313"/>
      <c r="EL60" s="313"/>
      <c r="EM60" s="313"/>
      <c r="EN60" s="313"/>
      <c r="EO60" s="313"/>
      <c r="EP60" s="313"/>
      <c r="EQ60" s="313"/>
      <c r="ER60" s="313"/>
      <c r="ES60" s="313"/>
      <c r="ET60" s="313"/>
      <c r="EU60" s="313"/>
      <c r="EV60" s="313"/>
      <c r="EW60" s="313"/>
      <c r="EX60" s="313"/>
      <c r="EY60" s="313"/>
      <c r="EZ60" s="313"/>
      <c r="FA60" s="313"/>
      <c r="FB60" s="313"/>
      <c r="FC60" s="313"/>
      <c r="FD60" s="313"/>
      <c r="FE60" s="313"/>
      <c r="FF60" s="313"/>
      <c r="FG60" s="313"/>
      <c r="FH60" s="313"/>
      <c r="FI60" s="313"/>
      <c r="FJ60" s="313"/>
      <c r="FK60" s="313"/>
      <c r="FL60" s="313"/>
      <c r="FM60" s="313"/>
      <c r="FN60" s="313"/>
      <c r="FO60" s="313"/>
      <c r="FP60" s="313"/>
      <c r="FQ60" s="313"/>
      <c r="FR60" s="313"/>
      <c r="FS60" s="313"/>
      <c r="FT60" s="313"/>
      <c r="FU60" s="313"/>
      <c r="FV60" s="313"/>
      <c r="FW60" s="313"/>
      <c r="FX60" s="313"/>
      <c r="FY60" s="313"/>
      <c r="FZ60" s="313"/>
      <c r="GA60" s="313"/>
      <c r="GB60" s="313"/>
      <c r="GC60" s="313"/>
      <c r="GD60" s="313"/>
      <c r="GE60" s="313"/>
      <c r="GF60" s="313"/>
      <c r="GG60" s="313"/>
      <c r="GH60" s="313"/>
      <c r="GI60" s="313"/>
      <c r="GJ60" s="313"/>
      <c r="GK60" s="313"/>
      <c r="GL60" s="313"/>
      <c r="GM60" s="313"/>
      <c r="GN60" s="313"/>
      <c r="GO60" s="313"/>
      <c r="GP60" s="313"/>
      <c r="GQ60" s="313"/>
      <c r="GR60" s="313"/>
      <c r="GS60" s="313"/>
      <c r="GT60" s="313"/>
      <c r="GU60" s="313"/>
      <c r="GV60" s="313"/>
      <c r="GW60" s="313"/>
      <c r="GX60" s="313"/>
      <c r="GY60" s="313"/>
      <c r="GZ60" s="313"/>
      <c r="HA60" s="313"/>
      <c r="HB60" s="313"/>
      <c r="HC60" s="313"/>
      <c r="HD60" s="313"/>
      <c r="HE60" s="313"/>
      <c r="HF60" s="313"/>
      <c r="HG60" s="313"/>
      <c r="HH60" s="313"/>
      <c r="HI60" s="313"/>
      <c r="HJ60" s="313"/>
      <c r="HK60" s="313"/>
      <c r="HL60" s="313"/>
      <c r="HM60" s="313"/>
    </row>
    <row r="61" spans="1:221" x14ac:dyDescent="0.2">
      <c r="A61" s="313" t="s">
        <v>111</v>
      </c>
      <c r="B61" s="313"/>
      <c r="C61" s="313"/>
      <c r="D61" s="353"/>
      <c r="E61" s="333"/>
      <c r="F61" s="334"/>
      <c r="G61" s="127"/>
      <c r="H61" s="127"/>
      <c r="I61" s="127"/>
      <c r="J61" s="127"/>
      <c r="K61" s="335"/>
      <c r="L61" s="128"/>
      <c r="M61" s="128"/>
      <c r="N61" s="128"/>
      <c r="O61" s="128"/>
      <c r="P61" s="354"/>
      <c r="Q61" s="334"/>
      <c r="R61" s="101"/>
      <c r="S61" s="335"/>
      <c r="T61" s="95"/>
      <c r="U61" s="313"/>
      <c r="V61" s="96"/>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c r="CW61" s="313"/>
      <c r="CX61" s="313"/>
      <c r="CY61" s="313"/>
      <c r="CZ61" s="313"/>
      <c r="DA61" s="313"/>
      <c r="DB61" s="313"/>
      <c r="DC61" s="313"/>
      <c r="DD61" s="313"/>
      <c r="DE61" s="313"/>
      <c r="DF61" s="313"/>
      <c r="DG61" s="313"/>
      <c r="DH61" s="313"/>
      <c r="DI61" s="313"/>
      <c r="DJ61" s="313"/>
      <c r="DK61" s="313"/>
      <c r="DL61" s="313"/>
      <c r="DM61" s="313"/>
      <c r="DN61" s="313"/>
      <c r="DO61" s="313"/>
      <c r="DP61" s="313"/>
      <c r="DQ61" s="313"/>
      <c r="DR61" s="313"/>
      <c r="DS61" s="313"/>
      <c r="DT61" s="313"/>
      <c r="DU61" s="313"/>
      <c r="DV61" s="313"/>
      <c r="DW61" s="313"/>
      <c r="DX61" s="313"/>
      <c r="DY61" s="313"/>
      <c r="DZ61" s="313"/>
      <c r="EA61" s="313"/>
      <c r="EB61" s="313"/>
      <c r="EC61" s="313"/>
      <c r="ED61" s="313"/>
      <c r="EE61" s="313"/>
      <c r="EF61" s="313"/>
      <c r="EG61" s="313"/>
      <c r="EH61" s="313"/>
      <c r="EI61" s="313"/>
      <c r="EJ61" s="313"/>
      <c r="EK61" s="313"/>
      <c r="EL61" s="313"/>
      <c r="EM61" s="313"/>
      <c r="EN61" s="313"/>
      <c r="EO61" s="313"/>
      <c r="EP61" s="313"/>
      <c r="EQ61" s="313"/>
      <c r="ER61" s="313"/>
      <c r="ES61" s="313"/>
      <c r="ET61" s="313"/>
      <c r="EU61" s="313"/>
      <c r="EV61" s="313"/>
      <c r="EW61" s="313"/>
      <c r="EX61" s="313"/>
      <c r="EY61" s="313"/>
      <c r="EZ61" s="313"/>
      <c r="FA61" s="313"/>
      <c r="FB61" s="313"/>
      <c r="FC61" s="313"/>
      <c r="FD61" s="313"/>
      <c r="FE61" s="313"/>
      <c r="FF61" s="313"/>
      <c r="FG61" s="313"/>
      <c r="FH61" s="313"/>
      <c r="FI61" s="313"/>
      <c r="FJ61" s="313"/>
      <c r="FK61" s="313"/>
      <c r="FL61" s="313"/>
      <c r="FM61" s="313"/>
      <c r="FN61" s="313"/>
      <c r="FO61" s="313"/>
      <c r="FP61" s="313"/>
      <c r="FQ61" s="313"/>
      <c r="FR61" s="313"/>
      <c r="FS61" s="313"/>
      <c r="FT61" s="313"/>
      <c r="FU61" s="313"/>
      <c r="FV61" s="313"/>
      <c r="FW61" s="313"/>
      <c r="FX61" s="313"/>
      <c r="FY61" s="313"/>
      <c r="FZ61" s="313"/>
      <c r="GA61" s="313"/>
      <c r="GB61" s="313"/>
      <c r="GC61" s="313"/>
      <c r="GD61" s="313"/>
      <c r="GE61" s="313"/>
      <c r="GF61" s="313"/>
      <c r="GG61" s="313"/>
      <c r="GH61" s="313"/>
      <c r="GI61" s="313"/>
      <c r="GJ61" s="313"/>
      <c r="GK61" s="313"/>
      <c r="GL61" s="313"/>
      <c r="GM61" s="313"/>
      <c r="GN61" s="313"/>
      <c r="GO61" s="313"/>
      <c r="GP61" s="313"/>
      <c r="GQ61" s="313"/>
      <c r="GR61" s="313"/>
      <c r="GS61" s="313"/>
      <c r="GT61" s="313"/>
      <c r="GU61" s="313"/>
      <c r="GV61" s="313"/>
      <c r="GW61" s="313"/>
      <c r="GX61" s="313"/>
      <c r="GY61" s="313"/>
      <c r="GZ61" s="313"/>
      <c r="HA61" s="313"/>
      <c r="HB61" s="313"/>
      <c r="HC61" s="313"/>
      <c r="HD61" s="313"/>
      <c r="HE61" s="313"/>
      <c r="HF61" s="313"/>
      <c r="HG61" s="313"/>
      <c r="HH61" s="313"/>
      <c r="HI61" s="313"/>
      <c r="HJ61" s="313"/>
      <c r="HK61" s="313"/>
      <c r="HL61" s="313"/>
      <c r="HM61" s="313"/>
    </row>
    <row r="62" spans="1:221" x14ac:dyDescent="0.2">
      <c r="A62" s="355" t="s">
        <v>112</v>
      </c>
      <c r="B62" s="356"/>
      <c r="C62" s="356"/>
      <c r="D62" s="357"/>
      <c r="E62" s="358"/>
      <c r="F62" s="359"/>
      <c r="G62" s="359"/>
      <c r="H62" s="359"/>
      <c r="I62" s="359"/>
      <c r="J62" s="359"/>
      <c r="K62" s="360"/>
      <c r="L62" s="361">
        <f>SUM(L34:L61)</f>
        <v>0</v>
      </c>
      <c r="M62" s="361">
        <f>SUM(M34:M61)</f>
        <v>0</v>
      </c>
      <c r="N62" s="361">
        <f>SUM(N34:N61)</f>
        <v>26.16</v>
      </c>
      <c r="O62" s="361">
        <f>SUM(O34:O61)</f>
        <v>26.16</v>
      </c>
      <c r="P62" s="362"/>
    </row>
    <row r="63" spans="1:221" x14ac:dyDescent="0.2">
      <c r="A63" s="339"/>
      <c r="D63" s="332"/>
      <c r="E63" s="346"/>
      <c r="F63" s="329"/>
      <c r="G63" s="218"/>
      <c r="H63" s="218"/>
      <c r="I63" s="218"/>
      <c r="J63" s="218"/>
      <c r="K63" s="46"/>
      <c r="L63" s="46"/>
      <c r="M63" s="46"/>
      <c r="N63" s="46"/>
      <c r="O63" s="213"/>
      <c r="P63" s="46"/>
    </row>
    <row r="64" spans="1:221" x14ac:dyDescent="0.2">
      <c r="A64" s="363" t="s">
        <v>178</v>
      </c>
      <c r="B64" s="364"/>
      <c r="C64" s="364"/>
      <c r="D64" s="364"/>
      <c r="E64" s="364"/>
      <c r="F64" s="364"/>
      <c r="G64" s="364"/>
      <c r="H64" s="364"/>
      <c r="I64" s="364"/>
      <c r="J64" s="364"/>
      <c r="K64" s="364"/>
      <c r="L64" s="219">
        <f>L30+L62</f>
        <v>0</v>
      </c>
      <c r="M64" s="219">
        <f>M30+M62</f>
        <v>0</v>
      </c>
      <c r="N64" s="219">
        <f>N30+N62</f>
        <v>35.56</v>
      </c>
      <c r="O64" s="219">
        <f>O30+O62</f>
        <v>35.56</v>
      </c>
      <c r="P64" s="219"/>
    </row>
    <row r="65" spans="1:16" x14ac:dyDescent="0.2">
      <c r="A65" s="339"/>
      <c r="B65" s="339"/>
      <c r="C65" s="339"/>
      <c r="D65" s="339"/>
      <c r="E65" s="339"/>
      <c r="F65" s="339"/>
      <c r="G65" s="339"/>
      <c r="H65" s="339"/>
      <c r="I65" s="339"/>
      <c r="J65" s="339"/>
      <c r="K65" s="339"/>
      <c r="L65" s="339"/>
      <c r="M65" s="339"/>
      <c r="N65" s="339"/>
      <c r="O65" s="171"/>
      <c r="P65" s="171"/>
    </row>
    <row r="66" spans="1:16" x14ac:dyDescent="0.2">
      <c r="A66" s="339" t="s">
        <v>191</v>
      </c>
      <c r="B66" s="339"/>
      <c r="C66" s="339"/>
      <c r="D66" s="339"/>
      <c r="E66" s="339"/>
      <c r="F66" s="339"/>
      <c r="G66" s="339"/>
      <c r="H66" s="339"/>
      <c r="I66" s="339"/>
      <c r="J66" s="339"/>
      <c r="K66" s="339"/>
      <c r="L66" s="339"/>
      <c r="M66" s="339"/>
      <c r="N66" s="339"/>
      <c r="O66" s="171">
        <f>O26+O28+O62</f>
        <v>35.56</v>
      </c>
      <c r="P66" s="331">
        <v>40967</v>
      </c>
    </row>
    <row r="67" spans="1:16" x14ac:dyDescent="0.2">
      <c r="A67" s="339"/>
      <c r="B67" s="339"/>
      <c r="C67" s="339"/>
      <c r="D67" s="339"/>
      <c r="E67" s="339"/>
      <c r="F67" s="339"/>
      <c r="G67" s="220"/>
      <c r="H67" s="220"/>
      <c r="I67" s="220"/>
      <c r="J67" s="220"/>
      <c r="K67" s="46"/>
      <c r="L67" s="46"/>
      <c r="M67" s="46"/>
      <c r="N67" s="46"/>
      <c r="O67" s="171"/>
    </row>
    <row r="68" spans="1:16" x14ac:dyDescent="0.2">
      <c r="A68" s="345" t="s">
        <v>115</v>
      </c>
      <c r="B68" s="339"/>
      <c r="C68" s="339"/>
      <c r="D68" s="339"/>
      <c r="E68" s="339"/>
      <c r="F68" s="339"/>
      <c r="G68" s="220"/>
      <c r="H68" s="220"/>
      <c r="I68" s="220"/>
      <c r="J68" s="220"/>
      <c r="K68" s="46"/>
      <c r="L68" s="46"/>
      <c r="M68" s="46"/>
      <c r="N68" s="46"/>
      <c r="O68" s="142">
        <f>MAX($O$64,$O$66)</f>
        <v>35.56</v>
      </c>
    </row>
    <row r="69" spans="1:16" x14ac:dyDescent="0.2">
      <c r="A69" s="339"/>
      <c r="B69" s="339"/>
      <c r="C69" s="339"/>
      <c r="D69" s="339"/>
      <c r="E69" s="339"/>
      <c r="F69" s="339"/>
      <c r="G69" s="220"/>
      <c r="H69" s="220"/>
      <c r="I69" s="220"/>
      <c r="J69" s="220"/>
      <c r="K69" s="46"/>
      <c r="L69" s="46"/>
      <c r="M69" s="46"/>
      <c r="N69" s="46"/>
      <c r="O69" s="171"/>
    </row>
    <row r="70" spans="1:16" x14ac:dyDescent="0.2">
      <c r="A70" s="339"/>
      <c r="B70" s="339"/>
      <c r="C70" s="339"/>
      <c r="D70" s="339"/>
      <c r="E70" s="339"/>
      <c r="F70" s="339"/>
      <c r="G70" s="365" t="s">
        <v>192</v>
      </c>
      <c r="H70" s="220"/>
      <c r="I70" s="339"/>
      <c r="J70" s="220"/>
      <c r="K70" s="46"/>
      <c r="L70" s="366"/>
      <c r="M70" s="366"/>
      <c r="N70" s="366"/>
      <c r="O70" s="366">
        <f>ROUND(IF($C$16&lt;1,0,$O$68/($C$16*100)*10000),2)</f>
        <v>0</v>
      </c>
      <c r="P70" s="339" t="s">
        <v>117</v>
      </c>
    </row>
    <row r="71" spans="1:16" x14ac:dyDescent="0.2">
      <c r="A71" s="339"/>
      <c r="B71" s="339"/>
      <c r="C71" s="339"/>
      <c r="D71" s="339"/>
      <c r="E71" s="339"/>
      <c r="F71" s="339"/>
      <c r="G71" s="367" t="s">
        <v>118</v>
      </c>
      <c r="H71" s="221"/>
      <c r="I71" s="368"/>
      <c r="J71" s="221"/>
      <c r="K71" s="369"/>
      <c r="L71" s="313"/>
      <c r="M71" s="313"/>
      <c r="N71" s="313"/>
      <c r="O71" s="370">
        <f>ROUND(IF($C$16&lt;1,0,(L64)/($C$16*100)*10000),2)</f>
        <v>0</v>
      </c>
      <c r="P71" s="371" t="s">
        <v>117</v>
      </c>
    </row>
    <row r="72" spans="1:16" x14ac:dyDescent="0.2">
      <c r="A72" s="339"/>
      <c r="B72" s="339"/>
      <c r="C72" s="339"/>
      <c r="D72" s="339"/>
      <c r="E72" s="339"/>
      <c r="F72" s="339"/>
      <c r="G72" s="365"/>
      <c r="H72" s="220"/>
      <c r="I72" s="365"/>
      <c r="J72" s="220"/>
      <c r="K72" s="46"/>
      <c r="L72" s="46"/>
      <c r="M72" s="46"/>
      <c r="N72" s="46"/>
      <c r="O72" s="223"/>
      <c r="P72" s="339"/>
    </row>
    <row r="73" spans="1:16" ht="20.25" customHeight="1" x14ac:dyDescent="0.3">
      <c r="B73" s="339"/>
      <c r="C73" s="339"/>
      <c r="D73" s="224" t="s">
        <v>2</v>
      </c>
      <c r="F73" s="329"/>
      <c r="G73" s="225"/>
      <c r="H73" s="226"/>
      <c r="I73" s="213"/>
      <c r="J73" s="226"/>
      <c r="K73" s="339"/>
      <c r="L73" s="339"/>
      <c r="M73" s="339"/>
      <c r="N73" s="213"/>
    </row>
    <row r="74" spans="1:16" x14ac:dyDescent="0.2">
      <c r="A74" s="339"/>
      <c r="B74" s="339"/>
      <c r="C74" s="339"/>
      <c r="D74" s="372"/>
      <c r="F74" s="329"/>
      <c r="G74" s="226"/>
      <c r="H74" s="226"/>
      <c r="I74" s="227"/>
      <c r="J74" s="226"/>
      <c r="K74" s="339"/>
      <c r="L74" s="339"/>
      <c r="M74" s="339"/>
      <c r="N74" s="339"/>
      <c r="O74" s="171"/>
    </row>
    <row r="75" spans="1:16" x14ac:dyDescent="0.2">
      <c r="A75" s="339"/>
      <c r="B75" s="339"/>
      <c r="C75" s="339"/>
      <c r="D75" s="372"/>
      <c r="F75" s="329"/>
      <c r="G75" s="226"/>
      <c r="H75" s="226"/>
      <c r="I75" s="226"/>
      <c r="J75" s="226"/>
      <c r="K75" s="339"/>
      <c r="L75" s="339"/>
      <c r="M75" s="339"/>
      <c r="N75" s="339"/>
      <c r="O75" s="171"/>
    </row>
    <row r="76" spans="1:16" x14ac:dyDescent="0.2">
      <c r="A76" s="345"/>
      <c r="B76" s="339"/>
      <c r="C76" s="339"/>
      <c r="D76" s="339"/>
      <c r="E76" s="339"/>
      <c r="F76" s="339"/>
      <c r="G76" s="339"/>
      <c r="H76" s="339"/>
      <c r="J76" s="339"/>
      <c r="K76" s="339"/>
      <c r="L76" s="171"/>
      <c r="M76" s="171"/>
      <c r="N76" s="171"/>
      <c r="O76" s="142"/>
    </row>
    <row r="77" spans="1:16" x14ac:dyDescent="0.2">
      <c r="B77" s="339"/>
      <c r="C77" s="339"/>
      <c r="D77" s="339"/>
      <c r="E77" s="339"/>
      <c r="F77" s="339"/>
      <c r="G77" s="365"/>
      <c r="H77" s="339"/>
      <c r="I77" s="339"/>
      <c r="J77" s="339"/>
      <c r="K77" s="339"/>
      <c r="L77" s="373"/>
      <c r="M77" s="373"/>
      <c r="N77" s="373"/>
      <c r="O77" s="223"/>
      <c r="P77" s="339"/>
    </row>
    <row r="78" spans="1:16" x14ac:dyDescent="0.2">
      <c r="G78" s="368"/>
      <c r="H78" s="374"/>
      <c r="I78" s="368"/>
      <c r="J78" s="374"/>
      <c r="K78" s="374"/>
      <c r="L78" s="149"/>
      <c r="M78" s="149"/>
      <c r="N78" s="149"/>
      <c r="O78" s="150"/>
      <c r="P78" s="371"/>
    </row>
    <row r="80" spans="1:16" x14ac:dyDescent="0.2">
      <c r="A80" s="465"/>
    </row>
    <row r="81" spans="1:1" x14ac:dyDescent="0.2">
      <c r="A81" s="465"/>
    </row>
    <row r="82" spans="1:1" x14ac:dyDescent="0.2">
      <c r="A82" s="465"/>
    </row>
    <row r="83" spans="1:1" x14ac:dyDescent="0.2">
      <c r="A83" s="465"/>
    </row>
    <row r="84" spans="1:1" x14ac:dyDescent="0.2">
      <c r="A84" s="465"/>
    </row>
    <row r="85" spans="1:1" x14ac:dyDescent="0.2">
      <c r="A85" s="465"/>
    </row>
    <row r="86" spans="1:1" x14ac:dyDescent="0.2">
      <c r="A86" s="465"/>
    </row>
    <row r="87" spans="1:1" x14ac:dyDescent="0.2">
      <c r="A87" s="465"/>
    </row>
    <row r="88" spans="1:1" x14ac:dyDescent="0.2">
      <c r="A88" s="465"/>
    </row>
    <row r="89" spans="1:1" x14ac:dyDescent="0.2">
      <c r="A89" s="465"/>
    </row>
    <row r="90" spans="1:1" x14ac:dyDescent="0.2">
      <c r="A90" s="465"/>
    </row>
    <row r="91" spans="1:1" x14ac:dyDescent="0.2">
      <c r="A91" s="465"/>
    </row>
    <row r="92" spans="1:1" x14ac:dyDescent="0.2">
      <c r="A92" s="465"/>
    </row>
    <row r="93" spans="1:1" x14ac:dyDescent="0.2">
      <c r="A93" s="465"/>
    </row>
    <row r="94" spans="1:1" x14ac:dyDescent="0.2">
      <c r="A94" s="465"/>
    </row>
  </sheetData>
  <sheetProtection algorithmName="SHA-512" hashValue="xrLwQw7H/lWfobdd7bXl+bQu9OXelToUhGhTa7W8IJs1bccXESG5qU9PAxRBJ8ZzUwjwsACVRbVwtEHGS62/vA==" saltValue="MYLIdkLCHqTWlX4c940So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2770" r:id="rId5" name="Button 2">
              <controlPr defaultSize="0" print="0" autoFill="0" autoPict="0" macro="[0]!Info">
                <anchor moveWithCells="1">
                  <from>
                    <xdr:col>15</xdr:col>
                    <xdr:colOff>276225</xdr:colOff>
                    <xdr:row>88</xdr:row>
                    <xdr:rowOff>47625</xdr:rowOff>
                  </from>
                  <to>
                    <xdr:col>16</xdr:col>
                    <xdr:colOff>28575</xdr:colOff>
                    <xdr:row>89</xdr:row>
                    <xdr:rowOff>104775</xdr:rowOff>
                  </to>
                </anchor>
              </controlPr>
            </control>
          </mc:Choice>
        </mc:AlternateContent>
        <mc:AlternateContent xmlns:mc="http://schemas.openxmlformats.org/markup-compatibility/2006">
          <mc:Choice Requires="x14">
            <control shapeId="3277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8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8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9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9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0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0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1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1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77285-8749-4C0F-89C0-C8D71753B605}">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321</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46051</v>
      </c>
      <c r="B6" s="76" t="s">
        <v>194</v>
      </c>
      <c r="C6" s="229"/>
      <c r="D6" s="229"/>
      <c r="E6" s="229"/>
      <c r="F6" s="229"/>
      <c r="G6" s="229"/>
      <c r="H6" s="229"/>
      <c r="I6" s="229"/>
      <c r="J6" s="229"/>
      <c r="K6" s="229"/>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2</v>
      </c>
      <c r="C10" s="63" t="str">
        <f>LOOKUP(B10,R10:AD10,R11:AD11)</f>
        <v>February</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325">
        <f>IF('Customer Info'!$B$19=0,0,ROUND(MAX(ROUND('Customer Info'!$B$19*'GS DCT PRI'!C20,1),ROUND('Customer Info'!$B$20*'GS DCT PRI'!C20,1))/'Customer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325">
        <f>MAX(100,ROUND(1.15*(MAX('Customer Info'!$B$19*'GS DCT PRI'!C20,'Customer Info'!$B$20*'GS DCT PRI'!C20)),1))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2" t="s">
        <v>2</v>
      </c>
      <c r="E21" s="452"/>
      <c r="F21" s="452"/>
      <c r="G21" s="452"/>
      <c r="H21" s="452"/>
      <c r="K21" s="158"/>
      <c r="L21" s="158"/>
      <c r="M21" s="158"/>
      <c r="N21" s="158"/>
      <c r="O21" s="188"/>
    </row>
    <row r="22" spans="1:30" x14ac:dyDescent="0.2">
      <c r="A22" s="158" t="s">
        <v>2</v>
      </c>
      <c r="B22" s="158"/>
      <c r="C22" s="210" t="s">
        <v>2</v>
      </c>
      <c r="D22" s="452" t="s">
        <v>2</v>
      </c>
      <c r="E22" s="452"/>
      <c r="F22" s="452"/>
      <c r="G22" s="452"/>
      <c r="H22" s="452"/>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4" t="s">
        <v>71</v>
      </c>
      <c r="H24" s="445"/>
      <c r="I24" s="445"/>
      <c r="J24" s="446"/>
      <c r="K24" s="163"/>
      <c r="L24" s="447" t="s">
        <v>72</v>
      </c>
      <c r="M24" s="447"/>
      <c r="N24" s="447"/>
      <c r="O24" s="447"/>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ROUND(MAX(D14,D15,IF('Customer Info'!B14&lt;25001,0,IF('Customer Info'!B14&lt;75001,15000+(('Customer Info'!B14-25000)*0.85),IF('Customer Info'!B14&lt;75000,0,IF(((57500+('Customer Info'!B14-75000))/'Customer Info'!B14)&gt;85%,'Customer Info'!B14*85%,57500+('Customer Info'!B14-75000))))),('Customer Info'!B16)*0.85),1)</f>
        <v>0</v>
      </c>
      <c r="E28" s="158" t="s">
        <v>13</v>
      </c>
      <c r="F28" s="1" t="s">
        <v>80</v>
      </c>
      <c r="G28" s="337"/>
      <c r="H28" s="337"/>
      <c r="I28" s="337">
        <v>6.33</v>
      </c>
      <c r="J28" s="337">
        <f>SUM(G28:I28)</f>
        <v>6.33</v>
      </c>
      <c r="K28" s="154" t="s">
        <v>162</v>
      </c>
      <c r="L28" s="189"/>
      <c r="M28" s="189"/>
      <c r="N28" s="189">
        <f>ROUND($D28*I28,2)</f>
        <v>0</v>
      </c>
      <c r="O28" s="128">
        <f>SUM(L28:N28)</f>
        <v>0</v>
      </c>
      <c r="P28" s="92">
        <v>45627</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0" x14ac:dyDescent="0.2">
      <c r="A33" s="144"/>
      <c r="D33" s="4"/>
      <c r="E33" s="4"/>
      <c r="K33" s="154"/>
      <c r="L33" s="154"/>
      <c r="M33" s="154"/>
      <c r="N33" s="154"/>
      <c r="O33" s="213"/>
    </row>
    <row r="34" spans="1:220" x14ac:dyDescent="0.2">
      <c r="A34" s="72" t="s">
        <v>84</v>
      </c>
      <c r="D34" s="4">
        <f>IF($C$16&lt;0,0,IF($C$16&gt;833000,833000,$C$16))</f>
        <v>0</v>
      </c>
      <c r="E34" s="152" t="s">
        <v>19</v>
      </c>
      <c r="F34" s="1" t="s">
        <v>80</v>
      </c>
      <c r="G34" s="167"/>
      <c r="H34" s="191"/>
      <c r="I34" s="100">
        <f>'Rider Rates'!$B$4</f>
        <v>5.5215000000000004E-3</v>
      </c>
      <c r="J34" s="214">
        <f>SUM(G34:I34)</f>
        <v>5.5215000000000004E-3</v>
      </c>
      <c r="K34" s="154" t="s">
        <v>85</v>
      </c>
      <c r="L34" s="189"/>
      <c r="M34" s="189"/>
      <c r="N34" s="189">
        <f>ROUND($D34*I34,2)</f>
        <v>0</v>
      </c>
      <c r="O34" s="189">
        <f>SUM(L34:N34)</f>
        <v>0</v>
      </c>
      <c r="P34" s="92">
        <f>'Rider Rates'!$D$4</f>
        <v>46022</v>
      </c>
    </row>
    <row r="35" spans="1:220"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46022</v>
      </c>
    </row>
    <row r="36" spans="1:220"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0"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0"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0"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53" si="0">SUM(L39:N39)</f>
        <v>0</v>
      </c>
      <c r="P39" s="92">
        <f>MAX('Rider Rates'!$D$18,'Rider Rates'!$F$18)</f>
        <v>44531</v>
      </c>
    </row>
    <row r="40" spans="1:220" x14ac:dyDescent="0.2">
      <c r="A40" s="76" t="s">
        <v>93</v>
      </c>
      <c r="B40" s="72"/>
      <c r="C40" s="72"/>
      <c r="D40" s="111">
        <f>'Customer Info'!$B$22+'Customer Info'!$B$23-'Customer Info'!$B$24</f>
        <v>0</v>
      </c>
      <c r="E40" s="97" t="s">
        <v>19</v>
      </c>
      <c r="F40" s="84" t="s">
        <v>80</v>
      </c>
      <c r="G40" s="100">
        <f>'Rider Rates'!B24</f>
        <v>7.4289999999999995E-2</v>
      </c>
      <c r="H40" s="100"/>
      <c r="I40" s="100"/>
      <c r="J40" s="115">
        <f>SUM(G40:H40)</f>
        <v>7.4289999999999995E-2</v>
      </c>
      <c r="K40" s="94" t="s">
        <v>85</v>
      </c>
      <c r="L40" s="89">
        <f>ROUND(D40*G40,2)</f>
        <v>0</v>
      </c>
      <c r="M40" s="89"/>
      <c r="N40" s="89"/>
      <c r="O40" s="89">
        <f t="shared" si="0"/>
        <v>0</v>
      </c>
      <c r="P40" s="92">
        <f>'Rider Rates'!$D$23</f>
        <v>45809</v>
      </c>
    </row>
    <row r="41" spans="1:220" x14ac:dyDescent="0.2">
      <c r="A41" s="72" t="s">
        <v>94</v>
      </c>
      <c r="B41" s="72"/>
      <c r="C41" s="72"/>
      <c r="D41" s="111">
        <f>'Customer Info'!$B$22+'Customer Info'!$B$23-'Customer Info'!$B$24</f>
        <v>0</v>
      </c>
      <c r="E41" s="97" t="s">
        <v>19</v>
      </c>
      <c r="F41" s="84" t="s">
        <v>80</v>
      </c>
      <c r="G41" s="100">
        <f>'Rider Rates'!$B$42</f>
        <v>1.3849999999999999E-2</v>
      </c>
      <c r="H41" s="100"/>
      <c r="I41" s="100"/>
      <c r="J41" s="115">
        <f>SUM(G41:H41)</f>
        <v>1.3849999999999999E-2</v>
      </c>
      <c r="K41" s="94" t="s">
        <v>85</v>
      </c>
      <c r="L41" s="89">
        <f>ROUND(D41*G41,2)</f>
        <v>0</v>
      </c>
      <c r="M41" s="89"/>
      <c r="N41" s="89"/>
      <c r="O41" s="89">
        <f t="shared" si="0"/>
        <v>0</v>
      </c>
      <c r="P41" s="92">
        <f>'Rider Rates'!$D$42</f>
        <v>45809</v>
      </c>
    </row>
    <row r="42" spans="1:220" x14ac:dyDescent="0.2">
      <c r="A42" s="76" t="s">
        <v>95</v>
      </c>
      <c r="B42" s="72"/>
      <c r="C42" s="72"/>
      <c r="D42" s="111">
        <f>'Customer Info'!$B$22+'Customer Info'!$B$23-'Customer Info'!$B$24</f>
        <v>0</v>
      </c>
      <c r="E42" s="97" t="s">
        <v>19</v>
      </c>
      <c r="F42" s="84" t="s">
        <v>80</v>
      </c>
      <c r="G42" s="100">
        <f>'Rider Rates'!$B$49</f>
        <v>2.7588999999999999E-3</v>
      </c>
      <c r="H42" s="100"/>
      <c r="I42" s="100"/>
      <c r="J42" s="115">
        <f>SUM(G42:H42)</f>
        <v>2.7588999999999999E-3</v>
      </c>
      <c r="K42" s="94" t="s">
        <v>85</v>
      </c>
      <c r="L42" s="89">
        <f>ROUND(D42*G42,2)</f>
        <v>0</v>
      </c>
      <c r="M42" s="89"/>
      <c r="N42" s="89"/>
      <c r="O42" s="89">
        <f t="shared" si="0"/>
        <v>0</v>
      </c>
      <c r="P42" s="92">
        <f>'Rider Rates'!$D$49</f>
        <v>46022</v>
      </c>
    </row>
    <row r="43" spans="1:220" x14ac:dyDescent="0.2">
      <c r="A43" s="72" t="s">
        <v>96</v>
      </c>
      <c r="B43" s="72"/>
      <c r="C43" s="72"/>
      <c r="D43" s="4">
        <f>IF($C$16&lt;0,0,IF($C$16&gt;833000,833000,$C$16))</f>
        <v>0</v>
      </c>
      <c r="E43" s="97" t="s">
        <v>19</v>
      </c>
      <c r="F43" s="84" t="s">
        <v>80</v>
      </c>
      <c r="G43" s="100"/>
      <c r="H43" s="100"/>
      <c r="I43" s="100">
        <f>'Rider Rates'!D53</f>
        <v>0</v>
      </c>
      <c r="J43" s="100">
        <f>SUM(G43:I43)</f>
        <v>0</v>
      </c>
      <c r="K43" s="94" t="s">
        <v>85</v>
      </c>
      <c r="L43" s="89"/>
      <c r="M43" s="89"/>
      <c r="N43" s="189">
        <f>D43*J43</f>
        <v>0</v>
      </c>
      <c r="O43" s="89">
        <f t="shared" si="0"/>
        <v>0</v>
      </c>
      <c r="P43" s="92">
        <f>'Rider Rates'!E53</f>
        <v>45883</v>
      </c>
    </row>
    <row r="44" spans="1:220" x14ac:dyDescent="0.2">
      <c r="A44" s="76" t="s">
        <v>97</v>
      </c>
      <c r="B44" s="72"/>
      <c r="C44" s="72"/>
      <c r="D44" s="4">
        <f>IF($C$16&lt;0,0,$C$16)</f>
        <v>0</v>
      </c>
      <c r="E44" s="97" t="s">
        <v>19</v>
      </c>
      <c r="F44" s="84" t="s">
        <v>80</v>
      </c>
      <c r="G44" s="100"/>
      <c r="H44" s="100">
        <f>'Rider Rates'!B60</f>
        <v>4.1980000000000001E-4</v>
      </c>
      <c r="I44" s="100"/>
      <c r="J44" s="100">
        <f>SUM(G44:I44)</f>
        <v>4.1980000000000001E-4</v>
      </c>
      <c r="K44" s="94" t="s">
        <v>85</v>
      </c>
      <c r="L44" s="89"/>
      <c r="M44" s="89">
        <f>ROUND(D44*H44,2)</f>
        <v>0</v>
      </c>
      <c r="N44" s="116"/>
      <c r="O44" s="89">
        <f t="shared" si="0"/>
        <v>0</v>
      </c>
      <c r="P44" s="92">
        <f>'Rider Rates'!$D$59</f>
        <v>45929</v>
      </c>
    </row>
    <row r="45" spans="1:220" x14ac:dyDescent="0.2">
      <c r="A45" s="76" t="s">
        <v>97</v>
      </c>
      <c r="B45" s="72"/>
      <c r="C45" s="72"/>
      <c r="D45" s="349">
        <f>ROUND(MAX(D14,IF('Customer Info'!B14&lt;25001,0,IF('Customer Info'!B14&lt;75001,15000+(('Customer Info'!B14-25000)*0.85),IF('Customer Info'!B14&lt;75000,0,IF(((57500+('Customer Info'!B14-75000))/'Customer Info'!B14)&gt;85%,'Customer Info'!B14*85%,575000+('Customer Info'!B14-75000))))),('Customer Info'!B16)*0.85),1)</f>
        <v>0</v>
      </c>
      <c r="E45" s="152" t="s">
        <v>211</v>
      </c>
      <c r="F45" s="1" t="s">
        <v>80</v>
      </c>
      <c r="G45" s="100"/>
      <c r="H45" s="90">
        <f>'Rider Rates'!B65</f>
        <v>8.67</v>
      </c>
      <c r="I45" s="100"/>
      <c r="J45" s="90">
        <f>SUM(G45:I45)</f>
        <v>8.67</v>
      </c>
      <c r="K45" s="94" t="s">
        <v>162</v>
      </c>
      <c r="L45" s="89"/>
      <c r="M45" s="89">
        <f>ROUND(D45*H45,2)</f>
        <v>0</v>
      </c>
      <c r="N45" s="116"/>
      <c r="O45" s="89">
        <f t="shared" si="0"/>
        <v>0</v>
      </c>
      <c r="P45" s="92">
        <f>'Rider Rates'!$D$64</f>
        <v>45929</v>
      </c>
    </row>
    <row r="46" spans="1:220" x14ac:dyDescent="0.2">
      <c r="A46" s="76" t="s">
        <v>190</v>
      </c>
      <c r="B46" s="72"/>
      <c r="C46" s="72"/>
      <c r="D46" s="4">
        <f>IF('Customer Info'!C35=TRUE,0,IF($C$16&lt;0,0,$C$16))</f>
        <v>0</v>
      </c>
      <c r="E46" s="97" t="s">
        <v>19</v>
      </c>
      <c r="F46" s="84" t="s">
        <v>80</v>
      </c>
      <c r="G46" s="100"/>
      <c r="H46" s="100"/>
      <c r="I46" s="100">
        <f>'Rider Rates'!$B$73+'Rider Rates'!$C$73</f>
        <v>0</v>
      </c>
      <c r="J46" s="100">
        <f>SUM(G46:I46)</f>
        <v>0</v>
      </c>
      <c r="K46" s="94" t="s">
        <v>85</v>
      </c>
      <c r="L46" s="89"/>
      <c r="M46" s="89"/>
      <c r="N46" s="189">
        <f>ROUND($D$46*'Rider Rates'!$B$73,2)+ROUND($D$46*'Rider Rates'!$C$73,2)</f>
        <v>0</v>
      </c>
      <c r="O46" s="128">
        <f t="shared" si="0"/>
        <v>0</v>
      </c>
      <c r="P46" s="92">
        <f>'Rider Rates'!$D$73</f>
        <v>44531</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190</v>
      </c>
      <c r="B47" s="72"/>
      <c r="C47" s="72"/>
      <c r="D47" s="349">
        <f>IF('Customer Info'!C35=TRUE,0,$D$28)</f>
        <v>0</v>
      </c>
      <c r="E47" s="97" t="s">
        <v>13</v>
      </c>
      <c r="F47" s="84" t="s">
        <v>80</v>
      </c>
      <c r="G47" s="100"/>
      <c r="H47" s="100"/>
      <c r="I47" s="90">
        <f>'Rider Rates'!$B$83</f>
        <v>0</v>
      </c>
      <c r="J47" s="90">
        <f>SUM(G47:I47)</f>
        <v>0</v>
      </c>
      <c r="K47" s="94" t="s">
        <v>85</v>
      </c>
      <c r="L47" s="89"/>
      <c r="M47" s="89"/>
      <c r="N47" s="189">
        <f>ROUND($D47*I47,2)</f>
        <v>0</v>
      </c>
      <c r="O47" s="128">
        <f>SUM(L47:N47)</f>
        <v>0</v>
      </c>
      <c r="P47" s="92">
        <f>'Rider Rates'!$D$83</f>
        <v>45444</v>
      </c>
      <c r="Q47" s="101"/>
      <c r="R47" s="94"/>
      <c r="S47" s="95"/>
      <c r="T47" s="72"/>
      <c r="U47" s="96"/>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100</v>
      </c>
      <c r="B48" s="72"/>
      <c r="C48" s="72"/>
      <c r="D48" s="217">
        <f>$N$30</f>
        <v>138.5</v>
      </c>
      <c r="E48" s="97" t="s">
        <v>92</v>
      </c>
      <c r="F48" s="84" t="s">
        <v>80</v>
      </c>
      <c r="G48" s="117"/>
      <c r="H48" s="118"/>
      <c r="I48" s="119">
        <f>'Rider Rates'!$B$87</f>
        <v>3.5344300000000002E-2</v>
      </c>
      <c r="J48" s="119">
        <f>SUM(H48:I48)</f>
        <v>3.5344300000000002E-2</v>
      </c>
      <c r="K48" s="94"/>
      <c r="L48" s="89"/>
      <c r="M48" s="89"/>
      <c r="N48" s="89">
        <f>ROUND(N$30*I48,2)</f>
        <v>4.9000000000000004</v>
      </c>
      <c r="O48" s="128">
        <f t="shared" si="0"/>
        <v>4.9000000000000004</v>
      </c>
      <c r="P48" s="92">
        <f>'Rider Rates'!$D$87</f>
        <v>45929</v>
      </c>
      <c r="Q48" s="101"/>
      <c r="R48" s="94"/>
      <c r="S48" s="95"/>
      <c r="T48" s="72"/>
      <c r="U48" s="96"/>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101</v>
      </c>
      <c r="B49" s="72"/>
      <c r="C49" s="72"/>
      <c r="D49" s="217">
        <f>$N$30</f>
        <v>138.5</v>
      </c>
      <c r="E49" s="97" t="s">
        <v>92</v>
      </c>
      <c r="F49" s="84" t="s">
        <v>80</v>
      </c>
      <c r="G49" s="120"/>
      <c r="H49" s="85"/>
      <c r="I49" s="119">
        <f>'Rider Rates'!$B$89</f>
        <v>7.8822199999999995E-2</v>
      </c>
      <c r="J49" s="119">
        <f>SUM(H49:I49)</f>
        <v>7.8822199999999995E-2</v>
      </c>
      <c r="K49" s="94"/>
      <c r="L49" s="89"/>
      <c r="M49" s="89"/>
      <c r="N49" s="89">
        <f>ROUND(N$30*I49,2)</f>
        <v>10.92</v>
      </c>
      <c r="O49" s="128">
        <f t="shared" si="0"/>
        <v>10.92</v>
      </c>
      <c r="P49" s="92">
        <f>'Rider Rates'!$D$89</f>
        <v>45987</v>
      </c>
      <c r="Q49" s="101"/>
      <c r="R49" s="94"/>
      <c r="S49" s="95"/>
      <c r="T49" s="72"/>
      <c r="U49" s="96"/>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row>
    <row r="50" spans="1:221" x14ac:dyDescent="0.2">
      <c r="A50" s="76" t="s">
        <v>102</v>
      </c>
      <c r="B50" s="72"/>
      <c r="C50" s="72"/>
      <c r="D50" s="113"/>
      <c r="E50" s="97" t="s">
        <v>55</v>
      </c>
      <c r="F50" s="84"/>
      <c r="G50" s="120"/>
      <c r="H50" s="85"/>
      <c r="I50" s="121">
        <f>'Rider Rates'!$B$93</f>
        <v>21.84</v>
      </c>
      <c r="J50" s="121">
        <f>SUM(G50:I50)</f>
        <v>21.84</v>
      </c>
      <c r="K50" s="94"/>
      <c r="L50" s="89"/>
      <c r="M50" s="89"/>
      <c r="N50" s="89">
        <f>I50</f>
        <v>21.84</v>
      </c>
      <c r="O50" s="89">
        <f>SUM(L50:N50)</f>
        <v>21.84</v>
      </c>
      <c r="P50" s="92">
        <f>'Rider Rates'!$D$93</f>
        <v>46022</v>
      </c>
    </row>
    <row r="51" spans="1:221" x14ac:dyDescent="0.2">
      <c r="A51" s="72" t="s">
        <v>175</v>
      </c>
      <c r="B51" s="72"/>
      <c r="C51" s="72"/>
      <c r="D51" s="4">
        <f>$D$34</f>
        <v>0</v>
      </c>
      <c r="E51" s="97" t="s">
        <v>19</v>
      </c>
      <c r="F51" s="84" t="s">
        <v>80</v>
      </c>
      <c r="G51" s="100"/>
      <c r="H51" s="100"/>
      <c r="I51" s="100"/>
      <c r="J51" s="100">
        <f>'Rider Rates'!$B$98</f>
        <v>0</v>
      </c>
      <c r="K51" s="94" t="s">
        <v>85</v>
      </c>
      <c r="L51" s="89"/>
      <c r="M51" s="89"/>
      <c r="N51" s="189"/>
      <c r="O51" s="89">
        <f>ROUND($D51*('Rider Rates'!B$98),2)</f>
        <v>0</v>
      </c>
      <c r="P51" s="92">
        <f>'Rider Rates'!$D$98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176</v>
      </c>
      <c r="B52" s="72"/>
      <c r="C52" s="72"/>
      <c r="D52" s="4">
        <f>$D$35</f>
        <v>0</v>
      </c>
      <c r="E52" s="97" t="s">
        <v>19</v>
      </c>
      <c r="F52" s="84" t="s">
        <v>80</v>
      </c>
      <c r="G52" s="100"/>
      <c r="H52" s="100"/>
      <c r="I52" s="100"/>
      <c r="J52" s="100">
        <f>'Rider Rates'!$B$99</f>
        <v>0</v>
      </c>
      <c r="K52" s="94" t="s">
        <v>85</v>
      </c>
      <c r="L52" s="89"/>
      <c r="M52" s="89"/>
      <c r="N52" s="189"/>
      <c r="O52" s="89">
        <f>ROUND($D52*('Rider Rates'!B$99),2)</f>
        <v>0</v>
      </c>
      <c r="P52" s="92">
        <f>'Rider Rates'!$D$99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104</v>
      </c>
      <c r="B53" s="72"/>
      <c r="C53" s="72"/>
      <c r="D53" s="217">
        <f>$N$30</f>
        <v>138.5</v>
      </c>
      <c r="E53" s="97" t="s">
        <v>92</v>
      </c>
      <c r="F53" s="84" t="s">
        <v>80</v>
      </c>
      <c r="G53" s="120"/>
      <c r="H53" s="85"/>
      <c r="I53" s="119">
        <f>'Rider Rates'!$B$107</f>
        <v>0.24079249999999999</v>
      </c>
      <c r="J53" s="119">
        <f>SUM(H53:I53)</f>
        <v>0.24079249999999999</v>
      </c>
      <c r="K53" s="94"/>
      <c r="L53" s="89"/>
      <c r="M53" s="89"/>
      <c r="N53" s="89">
        <f>ROUND(N$30*I53,2)</f>
        <v>33.35</v>
      </c>
      <c r="O53" s="89">
        <f t="shared" si="0"/>
        <v>33.35</v>
      </c>
      <c r="P53" s="92">
        <f>'Rider Rates'!$D$107</f>
        <v>45987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105</v>
      </c>
      <c r="B54" s="72"/>
      <c r="C54" s="72"/>
      <c r="D54" s="113"/>
      <c r="E54" s="97" t="s">
        <v>55</v>
      </c>
      <c r="F54" s="84"/>
      <c r="G54" s="120"/>
      <c r="H54" s="85"/>
      <c r="I54" s="123">
        <f>'Rider Rates'!B123</f>
        <v>0.99</v>
      </c>
      <c r="J54" s="121">
        <f>SUM(G54:I54)</f>
        <v>0.99</v>
      </c>
      <c r="K54" s="94"/>
      <c r="L54" s="89"/>
      <c r="M54" s="89"/>
      <c r="N54" s="125">
        <f>I54</f>
        <v>0.99</v>
      </c>
      <c r="O54" s="89">
        <f t="shared" ref="O54:O58" si="1">SUM(L54:N54)</f>
        <v>0.99</v>
      </c>
      <c r="P54" s="92">
        <f>'Rider Rates'!D123</f>
        <v>45958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106</v>
      </c>
      <c r="B55" s="72"/>
      <c r="C55" s="72"/>
      <c r="D55" s="111">
        <f>IF('Customer Info'!$C$33=TRUE,0,'Customer Info'!$B$22+'Customer Info'!$B$23-'Customer Info'!$B$24)</f>
        <v>0</v>
      </c>
      <c r="E55" s="97" t="s">
        <v>19</v>
      </c>
      <c r="F55" s="84" t="s">
        <v>80</v>
      </c>
      <c r="G55" s="100">
        <f>'Rider Rates'!$B$114</f>
        <v>3.7618E-3</v>
      </c>
      <c r="H55" s="100"/>
      <c r="I55" s="119"/>
      <c r="J55" s="115">
        <f>SUM(G55:H55)</f>
        <v>3.7618E-3</v>
      </c>
      <c r="K55" s="94" t="s">
        <v>85</v>
      </c>
      <c r="L55" s="89">
        <f>ROUND(D55*G55,2)</f>
        <v>0</v>
      </c>
      <c r="M55" s="89"/>
      <c r="N55" s="89"/>
      <c r="O55" s="89">
        <f t="shared" si="1"/>
        <v>0</v>
      </c>
      <c r="P55" s="92">
        <f>'Rider Rates'!$D$114</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6" t="s">
        <v>107</v>
      </c>
      <c r="B56" s="72"/>
      <c r="C56" s="72"/>
      <c r="D56" s="4">
        <f>IF($C$16&lt;1,0,$C$16)</f>
        <v>0</v>
      </c>
      <c r="E56" s="97" t="s">
        <v>19</v>
      </c>
      <c r="F56" s="126" t="s">
        <v>80</v>
      </c>
      <c r="G56" s="99"/>
      <c r="H56" s="99"/>
      <c r="I56" s="183">
        <f>'Rider Rates'!B119</f>
        <v>0</v>
      </c>
      <c r="J56" s="183">
        <f>SUM(G56:I56)</f>
        <v>0</v>
      </c>
      <c r="K56" s="94" t="s">
        <v>85</v>
      </c>
      <c r="L56" s="89"/>
      <c r="M56" s="89"/>
      <c r="N56" s="89">
        <f>D56*I56</f>
        <v>0</v>
      </c>
      <c r="O56" s="89">
        <f t="shared" si="1"/>
        <v>0</v>
      </c>
      <c r="P56" s="92">
        <f>'Rider Rates'!D119</f>
        <v>45657</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166</v>
      </c>
      <c r="B57" s="72"/>
      <c r="C57" s="72"/>
      <c r="D57" s="111">
        <f>IF(C16&lt;0,0,IF(C16&gt;833000,833000,C16))</f>
        <v>0</v>
      </c>
      <c r="E57" s="97" t="s">
        <v>19</v>
      </c>
      <c r="F57" s="84" t="s">
        <v>80</v>
      </c>
      <c r="G57" s="195"/>
      <c r="H57" s="195"/>
      <c r="I57" s="195">
        <f>'Rider Rates'!$B$127</f>
        <v>0</v>
      </c>
      <c r="J57" s="195">
        <f>SUM(G57:I57)</f>
        <v>0</v>
      </c>
      <c r="K57" s="94" t="s">
        <v>85</v>
      </c>
      <c r="L57" s="196"/>
      <c r="M57" s="196"/>
      <c r="N57" s="196">
        <f>IF(D57*J57&gt;'Rider Rates'!$C$127,'Rider Rates'!$C$127,D57*J57)</f>
        <v>0</v>
      </c>
      <c r="O57" s="196">
        <f t="shared" si="1"/>
        <v>0</v>
      </c>
      <c r="P57" s="129">
        <f>'Rider Rates'!$E$127</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167</v>
      </c>
      <c r="B58" s="72"/>
      <c r="C58" s="72"/>
      <c r="D58" s="4">
        <f>IF(C16&gt;833000,C16-833000,0)</f>
        <v>0</v>
      </c>
      <c r="E58" s="97" t="s">
        <v>19</v>
      </c>
      <c r="F58" s="84" t="s">
        <v>80</v>
      </c>
      <c r="G58" s="195"/>
      <c r="H58" s="195"/>
      <c r="I58" s="195">
        <f>'Rider Rates'!$B$128</f>
        <v>0</v>
      </c>
      <c r="J58" s="195">
        <f>SUM(G58:I58)</f>
        <v>0</v>
      </c>
      <c r="K58" s="94" t="s">
        <v>85</v>
      </c>
      <c r="L58" s="196"/>
      <c r="M58" s="196"/>
      <c r="N58" s="196">
        <f>D58*J58</f>
        <v>0</v>
      </c>
      <c r="O58" s="196">
        <f t="shared" si="1"/>
        <v>0</v>
      </c>
      <c r="P58" s="129">
        <f>'Rider Rates'!$E$128</f>
        <v>45883</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109</v>
      </c>
      <c r="B59" s="72"/>
      <c r="C59" s="72"/>
      <c r="D59" s="111">
        <f>D16</f>
        <v>0</v>
      </c>
      <c r="E59" s="97" t="s">
        <v>19</v>
      </c>
      <c r="F59" s="126" t="s">
        <v>80</v>
      </c>
      <c r="G59" s="100"/>
      <c r="H59" s="100"/>
      <c r="I59" s="100">
        <f>'Rider Rates'!$B$134</f>
        <v>0</v>
      </c>
      <c r="J59" s="115">
        <f>SUM(G59:I59)</f>
        <v>0</v>
      </c>
      <c r="K59" s="94" t="s">
        <v>85</v>
      </c>
      <c r="L59" s="89"/>
      <c r="M59" s="89"/>
      <c r="N59" s="89">
        <f>D59*J59</f>
        <v>0</v>
      </c>
      <c r="O59" s="89">
        <f>SUM(L59:N59)</f>
        <v>0</v>
      </c>
      <c r="P59" s="92">
        <f>'Rider Rates'!$D$132</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110</v>
      </c>
      <c r="B60" s="72"/>
      <c r="C60" s="72"/>
      <c r="D60" s="111"/>
      <c r="E60" s="97" t="s">
        <v>55</v>
      </c>
      <c r="F60" s="84" t="s">
        <v>80</v>
      </c>
      <c r="G60" s="127"/>
      <c r="H60" s="127"/>
      <c r="I60" s="127">
        <f>'Rider Rates'!$B$139</f>
        <v>0</v>
      </c>
      <c r="J60" s="127">
        <f>SUM(G60:I60)</f>
        <v>0</v>
      </c>
      <c r="K60" s="94"/>
      <c r="L60" s="128"/>
      <c r="M60" s="128"/>
      <c r="N60" s="128">
        <f>J60</f>
        <v>0</v>
      </c>
      <c r="O60" s="128">
        <f>SUM(L60:N60)</f>
        <v>0</v>
      </c>
      <c r="P60" s="129">
        <f>'Rider Rates'!$D$139</f>
        <v>44531</v>
      </c>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t="s">
        <v>111</v>
      </c>
      <c r="B61" s="72"/>
      <c r="C61" s="72"/>
      <c r="D61" s="111"/>
      <c r="E61" s="97"/>
      <c r="F61" s="84"/>
      <c r="G61" s="127"/>
      <c r="H61" s="127"/>
      <c r="I61" s="127"/>
      <c r="J61" s="127"/>
      <c r="K61" s="94"/>
      <c r="L61" s="128"/>
      <c r="M61" s="128"/>
      <c r="N61" s="128"/>
      <c r="O61" s="128"/>
      <c r="P61" s="129"/>
      <c r="Q61" s="84"/>
      <c r="R61" s="101"/>
      <c r="S61" s="94"/>
      <c r="T61" s="95"/>
      <c r="U61" s="72"/>
      <c r="V61" s="96"/>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30" t="s">
        <v>112</v>
      </c>
      <c r="B62" s="69"/>
      <c r="C62" s="69"/>
      <c r="D62" s="131"/>
      <c r="E62" s="132"/>
      <c r="F62" s="133"/>
      <c r="G62" s="133"/>
      <c r="H62" s="133"/>
      <c r="I62" s="133"/>
      <c r="J62" s="133"/>
      <c r="K62" s="134"/>
      <c r="L62" s="105">
        <f>SUM(L34:L61)</f>
        <v>0</v>
      </c>
      <c r="M62" s="105">
        <f>SUM(M34:M61)</f>
        <v>0</v>
      </c>
      <c r="N62" s="105">
        <f>SUM(N34:N61)</f>
        <v>71.999999999999986</v>
      </c>
      <c r="O62" s="105">
        <f>SUM(O34:O61)</f>
        <v>71.999999999999986</v>
      </c>
      <c r="P62" s="135"/>
    </row>
    <row r="63" spans="1:221" x14ac:dyDescent="0.2">
      <c r="A63" s="144"/>
      <c r="D63" s="4"/>
      <c r="E63" s="152"/>
      <c r="F63" s="1"/>
      <c r="G63" s="218"/>
      <c r="H63" s="218"/>
      <c r="I63" s="218"/>
      <c r="J63" s="218"/>
      <c r="K63" s="154"/>
      <c r="L63" s="154"/>
      <c r="M63" s="154"/>
      <c r="N63" s="154"/>
      <c r="O63" s="213"/>
      <c r="P63" s="154"/>
    </row>
    <row r="64" spans="1:221" x14ac:dyDescent="0.2">
      <c r="A64" s="204" t="s">
        <v>178</v>
      </c>
      <c r="B64" s="186"/>
      <c r="C64" s="186"/>
      <c r="D64" s="186"/>
      <c r="E64" s="186"/>
      <c r="F64" s="186"/>
      <c r="G64" s="186"/>
      <c r="H64" s="186"/>
      <c r="I64" s="186"/>
      <c r="J64" s="186"/>
      <c r="K64" s="186"/>
      <c r="L64" s="219">
        <f>L30+L62</f>
        <v>0</v>
      </c>
      <c r="M64" s="219">
        <f>M30+M62</f>
        <v>0</v>
      </c>
      <c r="N64" s="219">
        <f>N30+N62</f>
        <v>210.5</v>
      </c>
      <c r="O64" s="219">
        <f>O30+O62</f>
        <v>210.5</v>
      </c>
      <c r="P64" s="219"/>
    </row>
    <row r="65" spans="1:16" x14ac:dyDescent="0.2">
      <c r="A65" s="144"/>
      <c r="B65" s="144"/>
      <c r="C65" s="144"/>
      <c r="D65" s="144"/>
      <c r="E65" s="144"/>
      <c r="F65" s="144"/>
      <c r="G65" s="144"/>
      <c r="H65" s="144"/>
      <c r="I65" s="144"/>
      <c r="J65" s="144"/>
      <c r="K65" s="144"/>
      <c r="L65" s="144"/>
      <c r="M65" s="144"/>
      <c r="N65" s="144"/>
      <c r="O65" s="171"/>
      <c r="P65" s="171"/>
    </row>
    <row r="66" spans="1:16" x14ac:dyDescent="0.2">
      <c r="A66" s="144" t="s">
        <v>191</v>
      </c>
      <c r="B66" s="144"/>
      <c r="C66" s="144"/>
      <c r="D66" s="144"/>
      <c r="E66" s="144"/>
      <c r="F66" s="144"/>
      <c r="G66" s="144"/>
      <c r="H66" s="144"/>
      <c r="I66" s="144"/>
      <c r="J66" s="144"/>
      <c r="K66" s="144"/>
      <c r="L66" s="144"/>
      <c r="M66" s="144"/>
      <c r="N66" s="144"/>
      <c r="O66" s="171">
        <f>O26+O28+O62</f>
        <v>210.5</v>
      </c>
      <c r="P66" s="92">
        <v>40967</v>
      </c>
    </row>
    <row r="67" spans="1:16" x14ac:dyDescent="0.2">
      <c r="A67" s="144"/>
      <c r="B67" s="144"/>
      <c r="C67" s="144"/>
      <c r="D67" s="144"/>
      <c r="E67" s="144"/>
      <c r="F67" s="144"/>
      <c r="G67" s="220"/>
      <c r="H67" s="220"/>
      <c r="I67" s="220"/>
      <c r="J67" s="220"/>
      <c r="K67" s="154"/>
      <c r="L67" s="154"/>
      <c r="M67" s="154"/>
      <c r="N67" s="154"/>
      <c r="O67" s="171"/>
    </row>
    <row r="68" spans="1:16" x14ac:dyDescent="0.2">
      <c r="A68" s="155" t="s">
        <v>115</v>
      </c>
      <c r="B68" s="144"/>
      <c r="C68" s="144"/>
      <c r="D68" s="144"/>
      <c r="E68" s="144"/>
      <c r="F68" s="144"/>
      <c r="G68" s="220"/>
      <c r="H68" s="220"/>
      <c r="I68" s="220"/>
      <c r="J68" s="220"/>
      <c r="K68" s="154"/>
      <c r="L68" s="154"/>
      <c r="M68" s="154"/>
      <c r="N68" s="154"/>
      <c r="O68" s="142">
        <f>MAX($O$64,$O$66)</f>
        <v>210.5</v>
      </c>
    </row>
    <row r="69" spans="1:16" x14ac:dyDescent="0.2">
      <c r="A69" s="144"/>
      <c r="B69" s="144"/>
      <c r="C69" s="144"/>
      <c r="D69" s="144"/>
      <c r="E69" s="144"/>
      <c r="F69" s="144"/>
      <c r="G69" s="220"/>
      <c r="H69" s="220"/>
      <c r="I69" s="220"/>
      <c r="J69" s="220"/>
      <c r="K69" s="154"/>
      <c r="L69" s="154"/>
      <c r="M69" s="154"/>
      <c r="N69" s="154"/>
      <c r="O69" s="171"/>
    </row>
    <row r="70" spans="1:16" x14ac:dyDescent="0.2">
      <c r="A70" s="144"/>
      <c r="B70" s="144"/>
      <c r="C70" s="144"/>
      <c r="D70" s="144"/>
      <c r="E70" s="144"/>
      <c r="F70" s="144"/>
      <c r="G70" s="153" t="s">
        <v>192</v>
      </c>
      <c r="H70" s="220"/>
      <c r="I70" s="144"/>
      <c r="J70" s="220"/>
      <c r="K70" s="154"/>
      <c r="L70" s="143"/>
      <c r="M70" s="143"/>
      <c r="N70" s="143"/>
      <c r="O70" s="143">
        <f>ROUND(IF($C$16&lt;1,0,$O$68/($C$16*100)*10000),2)</f>
        <v>0</v>
      </c>
      <c r="P70" s="144" t="s">
        <v>117</v>
      </c>
    </row>
    <row r="71" spans="1:16" x14ac:dyDescent="0.2">
      <c r="A71" s="144"/>
      <c r="B71" s="144"/>
      <c r="C71" s="144"/>
      <c r="D71" s="144"/>
      <c r="E71" s="144"/>
      <c r="F71" s="144"/>
      <c r="G71" s="146" t="s">
        <v>118</v>
      </c>
      <c r="H71" s="221"/>
      <c r="I71" s="64"/>
      <c r="J71" s="221"/>
      <c r="K71" s="222"/>
      <c r="L71" s="72"/>
      <c r="M71" s="72"/>
      <c r="N71" s="72"/>
      <c r="O71" s="147">
        <f>ROUND(IF($C$16&lt;1,0,(L64)/($C$16*100)*10000),2)</f>
        <v>0</v>
      </c>
      <c r="P71" s="59" t="s">
        <v>117</v>
      </c>
    </row>
    <row r="72" spans="1:16" x14ac:dyDescent="0.2">
      <c r="A72" s="144"/>
      <c r="B72" s="144"/>
      <c r="C72" s="144"/>
      <c r="D72" s="144"/>
      <c r="E72" s="144"/>
      <c r="F72" s="144"/>
      <c r="G72" s="153"/>
      <c r="H72" s="220"/>
      <c r="I72" s="153"/>
      <c r="J72" s="220"/>
      <c r="K72" s="154"/>
      <c r="L72" s="154"/>
      <c r="M72" s="154"/>
      <c r="N72" s="154"/>
      <c r="O72" s="223"/>
      <c r="P72" s="144"/>
    </row>
    <row r="73" spans="1:16" ht="20.25" customHeight="1" x14ac:dyDescent="0.3">
      <c r="A73" s="44"/>
      <c r="B73" s="144"/>
      <c r="C73" s="144"/>
      <c r="D73" s="224" t="str">
        <f>IF('Customer Info'!$C$33=TRUE,"Notice: Billing Charge does not include Self Assessed KWH Tax"," ")</f>
        <v xml:space="preserve"> </v>
      </c>
      <c r="E73" s="44"/>
      <c r="F73" s="1"/>
      <c r="G73" s="225"/>
      <c r="H73" s="226"/>
      <c r="I73" s="213"/>
      <c r="J73" s="226"/>
      <c r="K73" s="144"/>
      <c r="L73" s="144"/>
      <c r="M73" s="144"/>
      <c r="N73" s="213"/>
    </row>
    <row r="74" spans="1:16" x14ac:dyDescent="0.2">
      <c r="A74" s="144"/>
      <c r="B74" s="144"/>
      <c r="C74" s="144"/>
      <c r="D74" s="174"/>
      <c r="E74" s="44"/>
      <c r="F74" s="1"/>
      <c r="G74" s="226"/>
      <c r="H74" s="226"/>
      <c r="I74" s="227"/>
      <c r="J74" s="226"/>
      <c r="K74" s="144"/>
      <c r="L74" s="144"/>
      <c r="M74" s="144"/>
      <c r="N74" s="144"/>
      <c r="O74" s="171"/>
    </row>
    <row r="75" spans="1:16" x14ac:dyDescent="0.2">
      <c r="A75" s="144"/>
      <c r="B75" s="144"/>
      <c r="C75" s="144"/>
      <c r="D75" s="174"/>
      <c r="E75" s="44"/>
      <c r="F75" s="1"/>
      <c r="G75" s="226"/>
      <c r="H75" s="226"/>
      <c r="I75" s="226"/>
      <c r="J75" s="226"/>
      <c r="K75" s="144"/>
      <c r="L75" s="144"/>
      <c r="M75" s="144"/>
      <c r="N75" s="144"/>
      <c r="O75" s="171"/>
    </row>
    <row r="76" spans="1:16" x14ac:dyDescent="0.2">
      <c r="A76" s="155"/>
      <c r="B76" s="144"/>
      <c r="C76" s="144"/>
      <c r="D76" s="144"/>
      <c r="E76" s="144"/>
      <c r="F76" s="144"/>
      <c r="G76" s="144"/>
      <c r="H76" s="144"/>
      <c r="J76" s="144"/>
      <c r="K76" s="144"/>
      <c r="L76" s="171"/>
      <c r="M76" s="171"/>
      <c r="N76" s="171"/>
      <c r="O76" s="142"/>
    </row>
    <row r="77" spans="1:16" x14ac:dyDescent="0.2">
      <c r="B77" s="144"/>
      <c r="C77" s="144"/>
      <c r="D77" s="144"/>
      <c r="E77" s="144"/>
      <c r="F77" s="144"/>
      <c r="G77" s="153"/>
      <c r="H77" s="144"/>
      <c r="I77" s="144"/>
      <c r="J77" s="144"/>
      <c r="K77" s="144"/>
      <c r="L77" s="228"/>
      <c r="M77" s="228"/>
      <c r="N77" s="228"/>
      <c r="O77" s="223"/>
      <c r="P77" s="144"/>
    </row>
    <row r="78" spans="1:16" x14ac:dyDescent="0.2">
      <c r="G78" s="64"/>
      <c r="H78" s="148"/>
      <c r="I78" s="64"/>
      <c r="J78" s="148"/>
      <c r="K78" s="148"/>
      <c r="L78" s="149"/>
      <c r="M78" s="149"/>
      <c r="N78" s="149"/>
      <c r="O78" s="150"/>
      <c r="P78" s="59"/>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row r="89" spans="1:1" x14ac:dyDescent="0.2">
      <c r="A89" s="431"/>
    </row>
    <row r="90" spans="1:1" x14ac:dyDescent="0.2">
      <c r="A90" s="431"/>
    </row>
    <row r="91" spans="1:1" x14ac:dyDescent="0.2">
      <c r="A91" s="431"/>
    </row>
    <row r="92" spans="1:1" x14ac:dyDescent="0.2">
      <c r="A92" s="431"/>
    </row>
    <row r="93" spans="1:1" x14ac:dyDescent="0.2">
      <c r="A93" s="431"/>
    </row>
    <row r="94" spans="1:1" x14ac:dyDescent="0.2">
      <c r="A94" s="431"/>
    </row>
  </sheetData>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3794"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3379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0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0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1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1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2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2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3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3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4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4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5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76B7B-890E-4865-8B2D-309998F3F947}">
  <sheetPr>
    <pageSetUpPr fitToPage="1"/>
  </sheetPr>
  <dimension ref="A1:IV93"/>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322</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46051</v>
      </c>
      <c r="B6" s="76" t="s">
        <v>213</v>
      </c>
      <c r="C6" s="229"/>
      <c r="D6" s="229"/>
      <c r="E6" s="229"/>
      <c r="F6" s="229"/>
      <c r="G6" s="229"/>
      <c r="H6" s="229"/>
      <c r="I6" s="229"/>
      <c r="J6" s="229"/>
      <c r="K6" s="229"/>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2</v>
      </c>
      <c r="C10" s="63" t="str">
        <f>LOOKUP(B10,R10:AD10,R11:AD11)</f>
        <v>February</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2" x14ac:dyDescent="0.2">
      <c r="A17" s="158" t="s">
        <v>214</v>
      </c>
      <c r="B17" s="158"/>
      <c r="C17" s="159">
        <f>'Customer Info'!$B$27</f>
        <v>0</v>
      </c>
      <c r="D17" s="159">
        <f>C17*C19</f>
        <v>0</v>
      </c>
      <c r="E17" s="158" t="s">
        <v>215</v>
      </c>
      <c r="F17" s="160"/>
      <c r="K17" s="158"/>
      <c r="L17" s="158"/>
      <c r="M17" s="158"/>
      <c r="N17" s="158"/>
    </row>
    <row r="18" spans="1:32" x14ac:dyDescent="0.2">
      <c r="A18" s="158" t="s">
        <v>216</v>
      </c>
      <c r="B18" s="158"/>
      <c r="C18" s="159"/>
      <c r="D18" s="159">
        <f>IF((D17-(ROUND(MAX(D14,D15)*0.5,1)))&lt;0,0,(D17-(ROUND(MAX(D14,D15)*0.5,1))))</f>
        <v>0</v>
      </c>
      <c r="E18" s="158" t="s">
        <v>217</v>
      </c>
      <c r="F18" s="160"/>
      <c r="K18" s="158"/>
      <c r="L18" s="158"/>
      <c r="M18" s="158"/>
      <c r="N18" s="158"/>
    </row>
    <row r="19" spans="1:32"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2" x14ac:dyDescent="0.2">
      <c r="A20" s="158" t="s">
        <v>2</v>
      </c>
      <c r="B20" s="158"/>
      <c r="C20" s="210" t="s">
        <v>2</v>
      </c>
      <c r="D20" s="452" t="s">
        <v>2</v>
      </c>
      <c r="E20" s="452"/>
      <c r="F20" s="452"/>
      <c r="G20" s="452"/>
      <c r="H20" s="452"/>
      <c r="K20" s="158"/>
      <c r="L20" s="158"/>
      <c r="M20" s="158"/>
      <c r="N20" s="158"/>
      <c r="O20" s="188"/>
    </row>
    <row r="21" spans="1:32" x14ac:dyDescent="0.2">
      <c r="A21" s="158" t="s">
        <v>2</v>
      </c>
      <c r="B21" s="158"/>
      <c r="C21" s="210" t="s">
        <v>2</v>
      </c>
      <c r="D21" s="452" t="s">
        <v>2</v>
      </c>
      <c r="E21" s="452"/>
      <c r="F21" s="452"/>
      <c r="G21" s="452"/>
      <c r="H21" s="452"/>
      <c r="I21" s="57"/>
      <c r="J21" s="57"/>
      <c r="K21" s="158"/>
      <c r="L21" s="158"/>
      <c r="M21" s="158"/>
      <c r="N21" s="158"/>
      <c r="O21" s="188"/>
    </row>
    <row r="22" spans="1:32" x14ac:dyDescent="0.2">
      <c r="A22" s="158"/>
      <c r="B22" s="158"/>
      <c r="C22" s="160"/>
      <c r="D22" s="160"/>
      <c r="E22" s="160"/>
      <c r="F22" s="160"/>
      <c r="G22" s="57"/>
      <c r="H22" s="57"/>
      <c r="I22" s="57"/>
      <c r="J22" s="57"/>
      <c r="K22" s="158"/>
      <c r="L22" s="158"/>
      <c r="M22" s="158"/>
      <c r="N22" s="158"/>
      <c r="O22" s="158"/>
    </row>
    <row r="23" spans="1:32" x14ac:dyDescent="0.2">
      <c r="A23" s="162" t="s">
        <v>70</v>
      </c>
      <c r="B23" s="163"/>
      <c r="C23" s="163"/>
      <c r="D23" s="163"/>
      <c r="E23" s="163"/>
      <c r="F23" s="163"/>
      <c r="G23" s="444" t="s">
        <v>71</v>
      </c>
      <c r="H23" s="445"/>
      <c r="I23" s="445"/>
      <c r="J23" s="446"/>
      <c r="K23" s="163"/>
      <c r="L23" s="447" t="s">
        <v>72</v>
      </c>
      <c r="M23" s="447"/>
      <c r="N23" s="447"/>
      <c r="O23" s="447"/>
    </row>
    <row r="24" spans="1:32" x14ac:dyDescent="0.2">
      <c r="G24" s="164" t="s">
        <v>73</v>
      </c>
      <c r="H24" s="164" t="s">
        <v>74</v>
      </c>
      <c r="I24" s="164" t="s">
        <v>75</v>
      </c>
      <c r="J24" s="118" t="s">
        <v>76</v>
      </c>
      <c r="L24" s="165" t="s">
        <v>73</v>
      </c>
      <c r="M24" s="165" t="s">
        <v>74</v>
      </c>
      <c r="N24" s="165" t="s">
        <v>75</v>
      </c>
      <c r="O24" s="165" t="s">
        <v>76</v>
      </c>
      <c r="P24" s="166" t="s">
        <v>77</v>
      </c>
    </row>
    <row r="25" spans="1:32" x14ac:dyDescent="0.2">
      <c r="A25" t="s">
        <v>78</v>
      </c>
      <c r="G25" s="189"/>
      <c r="H25" s="189"/>
      <c r="I25" s="189">
        <f>IF(D14&gt;2000,3600,825)</f>
        <v>825</v>
      </c>
      <c r="J25" s="189">
        <f>SUM(G25:I25)</f>
        <v>825</v>
      </c>
      <c r="L25" s="190"/>
      <c r="M25" s="190"/>
      <c r="N25" s="190">
        <f>I25</f>
        <v>825</v>
      </c>
      <c r="O25" s="128">
        <f>SUM(L25:N25)</f>
        <v>825</v>
      </c>
      <c r="P25" s="92">
        <v>44531</v>
      </c>
    </row>
    <row r="26" spans="1:32" x14ac:dyDescent="0.2">
      <c r="A26" t="s">
        <v>165</v>
      </c>
      <c r="D26" s="4">
        <f>D16</f>
        <v>0</v>
      </c>
      <c r="E26" s="97" t="s">
        <v>19</v>
      </c>
      <c r="F26" s="84" t="s">
        <v>80</v>
      </c>
      <c r="G26" s="191"/>
      <c r="H26" s="189"/>
      <c r="I26" s="189"/>
      <c r="J26" s="191"/>
      <c r="K26" s="94" t="s">
        <v>85</v>
      </c>
      <c r="L26" s="189"/>
      <c r="M26" s="190"/>
      <c r="N26" s="189"/>
      <c r="O26" s="128"/>
      <c r="P26" s="92"/>
    </row>
    <row r="27" spans="1:32" x14ac:dyDescent="0.2">
      <c r="A27" t="s">
        <v>208</v>
      </c>
      <c r="D27" s="349">
        <f>ROUND(MAX(D14,D15,IF('Customer Info'!B13&lt;25001,0,IF('Customer Info'!B13&lt;75001,15000+(('Customer Info'!B13-25000)*0.85),IF('Customer Info'!B13&lt;75000,0,IF(((57500+('Customer Info'!B13-75000))/'Customer Info'!B13)&gt;85%,'Customer Info'!B13*85%,57500+('Customer Info'!B13-75000))))),('Customer Info'!B15)*0.85),1)</f>
        <v>0</v>
      </c>
      <c r="E27" s="158" t="s">
        <v>13</v>
      </c>
      <c r="F27" s="1" t="s">
        <v>80</v>
      </c>
      <c r="G27" s="337"/>
      <c r="H27" s="337"/>
      <c r="I27" s="337">
        <v>0</v>
      </c>
      <c r="J27" s="337">
        <f>SUM(G27:I27)</f>
        <v>0</v>
      </c>
      <c r="K27" s="154" t="s">
        <v>162</v>
      </c>
      <c r="L27" s="189"/>
      <c r="M27" s="189"/>
      <c r="N27" s="189">
        <f>ROUND($D27*I27,2)</f>
        <v>0</v>
      </c>
      <c r="O27" s="128">
        <f>SUM(L27:N27)</f>
        <v>0</v>
      </c>
      <c r="P27" s="92">
        <v>44531</v>
      </c>
      <c r="AF27" s="375"/>
    </row>
    <row r="28" spans="1:32"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c r="AF28" s="375"/>
    </row>
    <row r="29" spans="1:32" x14ac:dyDescent="0.2">
      <c r="A29" s="144" t="s">
        <v>82</v>
      </c>
      <c r="B29" s="144"/>
      <c r="C29" s="144"/>
      <c r="D29" s="170"/>
      <c r="E29" s="170"/>
      <c r="F29" s="144"/>
      <c r="G29" s="144"/>
      <c r="H29" s="144"/>
      <c r="I29" s="144"/>
      <c r="J29" s="144"/>
      <c r="K29" s="172"/>
      <c r="L29" s="171"/>
      <c r="M29" s="171"/>
      <c r="N29" s="171">
        <f>SUM(N25:N28)</f>
        <v>825</v>
      </c>
      <c r="O29" s="171">
        <f>SUM(O25:O28)</f>
        <v>825</v>
      </c>
    </row>
    <row r="30" spans="1:32" x14ac:dyDescent="0.2">
      <c r="A30" s="192"/>
      <c r="B30" s="192"/>
      <c r="C30" s="193"/>
      <c r="D30" s="193"/>
      <c r="E30" s="193"/>
      <c r="F30" s="193"/>
      <c r="G30" s="194"/>
      <c r="H30" s="194"/>
      <c r="I30" s="194"/>
      <c r="J30" s="194"/>
      <c r="K30" s="192"/>
      <c r="L30" s="192"/>
      <c r="M30" s="192"/>
      <c r="N30" s="192"/>
      <c r="O30" s="192"/>
      <c r="P30" s="192"/>
    </row>
    <row r="31" spans="1:32" x14ac:dyDescent="0.2">
      <c r="A31" s="155" t="s">
        <v>83</v>
      </c>
      <c r="D31" s="4"/>
      <c r="E31" s="4"/>
      <c r="K31" s="154"/>
      <c r="L31" s="154"/>
      <c r="M31" s="154"/>
      <c r="N31" s="154"/>
      <c r="O31" s="213"/>
      <c r="P31" s="213"/>
    </row>
    <row r="32" spans="1:32" x14ac:dyDescent="0.2">
      <c r="A32" s="144"/>
      <c r="D32" s="4"/>
      <c r="E32" s="4"/>
      <c r="K32" s="154"/>
      <c r="L32" s="154"/>
      <c r="M32" s="154"/>
      <c r="N32" s="154"/>
      <c r="O32" s="213"/>
    </row>
    <row r="33" spans="1:220" x14ac:dyDescent="0.2">
      <c r="A33" s="72" t="s">
        <v>84</v>
      </c>
      <c r="D33" s="4">
        <f>IF($C$16&lt;0,0,IF($C$16&gt;833000,833000,$C$16))</f>
        <v>0</v>
      </c>
      <c r="E33" s="152" t="s">
        <v>19</v>
      </c>
      <c r="F33" s="1" t="s">
        <v>80</v>
      </c>
      <c r="G33" s="167"/>
      <c r="H33" s="191"/>
      <c r="I33" s="100">
        <f>'Rider Rates'!$B$4</f>
        <v>5.5215000000000004E-3</v>
      </c>
      <c r="J33" s="214">
        <f>SUM(G33:I33)</f>
        <v>5.5215000000000004E-3</v>
      </c>
      <c r="K33" s="154" t="s">
        <v>85</v>
      </c>
      <c r="L33" s="189"/>
      <c r="M33" s="189"/>
      <c r="N33" s="189">
        <f>ROUND($D33*I33,2)</f>
        <v>0</v>
      </c>
      <c r="O33" s="189">
        <f>SUM(L33:N33)</f>
        <v>0</v>
      </c>
      <c r="P33" s="92">
        <f>'Rider Rates'!$D$4</f>
        <v>46022</v>
      </c>
    </row>
    <row r="34" spans="1:220"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SUM(L34:N34)</f>
        <v>0</v>
      </c>
      <c r="P34" s="92">
        <f>'Rider Rates'!$D$4</f>
        <v>46022</v>
      </c>
    </row>
    <row r="35" spans="1:220"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SUM(L35:N35)</f>
        <v>0</v>
      </c>
      <c r="P35" s="92">
        <f>'Rider Rates'!$D$7</f>
        <v>44531</v>
      </c>
    </row>
    <row r="36" spans="1:220"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SUM(L36:N36)</f>
        <v>0</v>
      </c>
      <c r="P36" s="92">
        <f>'Rider Rates'!$D$7</f>
        <v>44531</v>
      </c>
    </row>
    <row r="37" spans="1:220"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SUM(L37:N37)</f>
        <v>0</v>
      </c>
      <c r="P37" s="92">
        <f>'Rider Rates'!$D$7</f>
        <v>44531</v>
      </c>
    </row>
    <row r="38" spans="1:220"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ref="O38:O52" si="0">SUM(L38:N38)</f>
        <v>0</v>
      </c>
      <c r="P38" s="92">
        <f>MAX('Rider Rates'!$D$18,'Rider Rates'!$F$18)</f>
        <v>44531</v>
      </c>
    </row>
    <row r="39" spans="1:220" x14ac:dyDescent="0.2">
      <c r="A39" s="76" t="s">
        <v>93</v>
      </c>
      <c r="B39" s="72"/>
      <c r="C39" s="72"/>
      <c r="D39" s="4">
        <f>'Customer Info'!$B$22+'Customer Info'!$B$23-'Customer Info'!$B$24</f>
        <v>0</v>
      </c>
      <c r="E39" s="97" t="s">
        <v>19</v>
      </c>
      <c r="F39" s="84" t="s">
        <v>80</v>
      </c>
      <c r="G39" s="100">
        <f>'Rider Rates'!B25</f>
        <v>7.2950000000000001E-2</v>
      </c>
      <c r="H39" s="100"/>
      <c r="I39" s="100"/>
      <c r="J39" s="115">
        <f>SUM(G39:H39)</f>
        <v>7.2950000000000001E-2</v>
      </c>
      <c r="K39" s="94" t="s">
        <v>85</v>
      </c>
      <c r="L39" s="89">
        <f>ROUND(D39*G39,2)</f>
        <v>0</v>
      </c>
      <c r="M39" s="89"/>
      <c r="N39" s="89"/>
      <c r="O39" s="89">
        <f t="shared" si="0"/>
        <v>0</v>
      </c>
      <c r="P39" s="92">
        <f>'Rider Rates'!$D$23</f>
        <v>45809</v>
      </c>
    </row>
    <row r="40" spans="1:220" x14ac:dyDescent="0.2">
      <c r="A40" s="72" t="s">
        <v>94</v>
      </c>
      <c r="B40" s="72"/>
      <c r="C40" s="72"/>
      <c r="D40" s="4">
        <f>'Customer Info'!$B$22+'Customer Info'!$B$23-'Customer Info'!$B$24</f>
        <v>0</v>
      </c>
      <c r="E40" s="97" t="s">
        <v>19</v>
      </c>
      <c r="F40" s="84" t="s">
        <v>80</v>
      </c>
      <c r="G40" s="100">
        <f>'Rider Rates'!$B$43</f>
        <v>1.6299999999999999E-2</v>
      </c>
      <c r="H40" s="100"/>
      <c r="I40" s="100"/>
      <c r="J40" s="115">
        <f>SUM(G40:H40)</f>
        <v>1.6299999999999999E-2</v>
      </c>
      <c r="K40" s="94" t="s">
        <v>85</v>
      </c>
      <c r="L40" s="89">
        <f>ROUND(D40*G40,2)</f>
        <v>0</v>
      </c>
      <c r="M40" s="89"/>
      <c r="N40" s="89"/>
      <c r="O40" s="89">
        <f t="shared" si="0"/>
        <v>0</v>
      </c>
      <c r="P40" s="92">
        <f>'Rider Rates'!$D$43</f>
        <v>45809</v>
      </c>
    </row>
    <row r="41" spans="1:220" x14ac:dyDescent="0.2">
      <c r="A41" s="76" t="s">
        <v>95</v>
      </c>
      <c r="B41" s="72"/>
      <c r="C41" s="72"/>
      <c r="D41" s="4">
        <f>'Customer Info'!$B$22+'Customer Info'!$B$23-'Customer Info'!$B$24</f>
        <v>0</v>
      </c>
      <c r="E41" s="97" t="s">
        <v>19</v>
      </c>
      <c r="F41" s="84" t="s">
        <v>80</v>
      </c>
      <c r="G41" s="100">
        <f>'Rider Rates'!$B$49</f>
        <v>2.7588999999999999E-3</v>
      </c>
      <c r="H41" s="100"/>
      <c r="I41" s="100"/>
      <c r="J41" s="115">
        <f>SUM(G41:H41)</f>
        <v>2.7588999999999999E-3</v>
      </c>
      <c r="K41" s="94" t="s">
        <v>85</v>
      </c>
      <c r="L41" s="89">
        <f>ROUND(D41*G41,2)</f>
        <v>0</v>
      </c>
      <c r="M41" s="89"/>
      <c r="N41" s="89"/>
      <c r="O41" s="89">
        <f t="shared" si="0"/>
        <v>0</v>
      </c>
      <c r="P41" s="92">
        <f>'Rider Rates'!$D$49</f>
        <v>46022</v>
      </c>
    </row>
    <row r="42" spans="1:220" x14ac:dyDescent="0.2">
      <c r="A42" s="72" t="s">
        <v>96</v>
      </c>
      <c r="B42" s="72"/>
      <c r="C42" s="72"/>
      <c r="D42" s="4">
        <f>IF($C$16&lt;0,0,IF($C$16&gt;833000,833000,$C$16))</f>
        <v>0</v>
      </c>
      <c r="E42" s="97" t="s">
        <v>19</v>
      </c>
      <c r="F42" s="84" t="s">
        <v>80</v>
      </c>
      <c r="G42" s="100"/>
      <c r="H42" s="100"/>
      <c r="I42" s="100">
        <f>'Rider Rates'!D53</f>
        <v>0</v>
      </c>
      <c r="J42" s="100">
        <f>SUM(G42:I42)</f>
        <v>0</v>
      </c>
      <c r="K42" s="94" t="s">
        <v>85</v>
      </c>
      <c r="L42" s="89"/>
      <c r="M42" s="89"/>
      <c r="N42" s="189">
        <f>D42*J42</f>
        <v>0</v>
      </c>
      <c r="O42" s="89">
        <f t="shared" si="0"/>
        <v>0</v>
      </c>
      <c r="P42" s="92">
        <f>'Rider Rates'!E53</f>
        <v>45883</v>
      </c>
    </row>
    <row r="43" spans="1:220" x14ac:dyDescent="0.2">
      <c r="A43" s="76" t="s">
        <v>97</v>
      </c>
      <c r="B43" s="72"/>
      <c r="C43" s="72"/>
      <c r="D43" s="4">
        <f>IF($C$16&lt;0,0,$C$16)</f>
        <v>0</v>
      </c>
      <c r="E43" s="97" t="s">
        <v>19</v>
      </c>
      <c r="F43" s="84" t="s">
        <v>80</v>
      </c>
      <c r="G43" s="100"/>
      <c r="H43" s="100">
        <f>'Rider Rates'!$B$61</f>
        <v>4.1229999999999999E-4</v>
      </c>
      <c r="I43" s="100"/>
      <c r="J43" s="100">
        <f>SUM(G43:I43)</f>
        <v>4.1229999999999999E-4</v>
      </c>
      <c r="K43" s="94" t="s">
        <v>85</v>
      </c>
      <c r="L43" s="89"/>
      <c r="M43" s="89">
        <f>ROUND(D43*H43,2)</f>
        <v>0</v>
      </c>
      <c r="N43" s="116"/>
      <c r="O43" s="89">
        <f t="shared" si="0"/>
        <v>0</v>
      </c>
      <c r="P43" s="92">
        <f>'Rider Rates'!$D$61</f>
        <v>45929</v>
      </c>
    </row>
    <row r="44" spans="1:220" x14ac:dyDescent="0.2">
      <c r="A44" s="76" t="s">
        <v>97</v>
      </c>
      <c r="B44" s="72"/>
      <c r="C44" s="72"/>
      <c r="D44" s="349">
        <f>ROUND(MAX(D14,IF('Customer Info'!B14&lt;25001,0,IF('Customer Info'!B14&lt;75001,15000+(('Customer Info'!B14-25000)*0.85),IF('Customer Info'!B14&lt;75000,0,IF(((57500+('Customer Info'!B14-75000))/'Customer Info'!B14)&gt;85%,'Customer Info'!B14*85%,575000+('Customer Info'!B14-75000))))),('Customer Info'!B16)*0.85),1)</f>
        <v>0</v>
      </c>
      <c r="E44" s="152" t="s">
        <v>211</v>
      </c>
      <c r="F44" s="1" t="s">
        <v>80</v>
      </c>
      <c r="G44" s="100"/>
      <c r="H44" s="90">
        <f>'Rider Rates'!$B$66</f>
        <v>7.16</v>
      </c>
      <c r="I44" s="100"/>
      <c r="J44" s="90">
        <f>SUM(G44:I44)</f>
        <v>7.16</v>
      </c>
      <c r="K44" s="94" t="s">
        <v>162</v>
      </c>
      <c r="L44" s="89"/>
      <c r="M44" s="89">
        <f>ROUND(D44*H44,2)</f>
        <v>0</v>
      </c>
      <c r="N44" s="116"/>
      <c r="O44" s="89">
        <f t="shared" si="0"/>
        <v>0</v>
      </c>
      <c r="P44" s="92">
        <f>'Rider Rates'!$D$66</f>
        <v>45929</v>
      </c>
      <c r="AF44" s="349"/>
    </row>
    <row r="45" spans="1:220" x14ac:dyDescent="0.2">
      <c r="A45" s="76" t="s">
        <v>190</v>
      </c>
      <c r="B45" s="72"/>
      <c r="C45" s="72"/>
      <c r="D45" s="4">
        <f>IF('Customer Info'!C35=TRUE,0,IF($C$16&lt;0,0,$C$16))</f>
        <v>0</v>
      </c>
      <c r="E45" s="97" t="s">
        <v>19</v>
      </c>
      <c r="F45" s="84" t="s">
        <v>80</v>
      </c>
      <c r="G45" s="100"/>
      <c r="H45" s="100"/>
      <c r="I45" s="100">
        <f>'Rider Rates'!$B$73+'Rider Rates'!$C$73</f>
        <v>0</v>
      </c>
      <c r="J45" s="100">
        <f>SUM(G45:I45)</f>
        <v>0</v>
      </c>
      <c r="K45" s="94" t="s">
        <v>85</v>
      </c>
      <c r="L45" s="89"/>
      <c r="M45" s="89"/>
      <c r="N45" s="189">
        <f>ROUND($D$45*'Rider Rates'!$B$73,2)+ROUND($D$45*'Rider Rates'!$C$73,2)</f>
        <v>0</v>
      </c>
      <c r="O45" s="128">
        <f t="shared" si="0"/>
        <v>0</v>
      </c>
      <c r="P45" s="92">
        <f>'Rider Rates'!$D$73</f>
        <v>44531</v>
      </c>
      <c r="Q45" s="101"/>
      <c r="R45" s="94"/>
      <c r="S45" s="95"/>
      <c r="T45" s="72"/>
      <c r="U45" s="96"/>
      <c r="V45" s="72"/>
      <c r="W45" s="72"/>
      <c r="X45" s="72"/>
      <c r="Y45" s="72"/>
      <c r="Z45" s="72"/>
      <c r="AA45" s="72"/>
      <c r="AB45" s="72"/>
      <c r="AC45" s="72"/>
      <c r="AD45" s="72"/>
      <c r="AE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0" x14ac:dyDescent="0.2">
      <c r="A46" s="76" t="s">
        <v>190</v>
      </c>
      <c r="B46" s="72"/>
      <c r="C46" s="72"/>
      <c r="D46" s="349">
        <f>IF('Customer Info'!C35=TRUE,0,$D$27)</f>
        <v>0</v>
      </c>
      <c r="E46" s="97" t="s">
        <v>13</v>
      </c>
      <c r="F46" s="84" t="s">
        <v>80</v>
      </c>
      <c r="G46" s="100"/>
      <c r="H46" s="100"/>
      <c r="I46" s="90">
        <f>'Rider Rates'!$B$83</f>
        <v>0</v>
      </c>
      <c r="J46" s="90">
        <f>SUM(G46:I46)</f>
        <v>0</v>
      </c>
      <c r="K46" s="94" t="s">
        <v>85</v>
      </c>
      <c r="L46" s="89"/>
      <c r="M46" s="89"/>
      <c r="N46" s="189">
        <f>ROUND($D46*I46,2)</f>
        <v>0</v>
      </c>
      <c r="O46" s="128">
        <f>SUM(L46:N46)</f>
        <v>0</v>
      </c>
      <c r="P46" s="92">
        <v>44531</v>
      </c>
      <c r="Q46" s="101"/>
      <c r="R46" s="94"/>
      <c r="S46" s="95"/>
      <c r="T46" s="72"/>
      <c r="U46" s="96"/>
      <c r="V46" s="72"/>
      <c r="W46" s="72"/>
      <c r="X46" s="72"/>
      <c r="Y46" s="72"/>
      <c r="Z46" s="72"/>
      <c r="AA46" s="72"/>
      <c r="AB46" s="72"/>
      <c r="AC46" s="72"/>
      <c r="AD46" s="72"/>
      <c r="AE46" s="72"/>
      <c r="AF46" s="349"/>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100</v>
      </c>
      <c r="B47" s="72"/>
      <c r="C47" s="72"/>
      <c r="D47" s="217">
        <f>$N$29</f>
        <v>825</v>
      </c>
      <c r="E47" s="97" t="s">
        <v>92</v>
      </c>
      <c r="F47" s="84" t="s">
        <v>80</v>
      </c>
      <c r="G47" s="117"/>
      <c r="H47" s="118"/>
      <c r="I47" s="119">
        <f>'Rider Rates'!$B$87</f>
        <v>3.5344300000000002E-2</v>
      </c>
      <c r="J47" s="119">
        <f>SUM(H47:I47)</f>
        <v>3.5344300000000002E-2</v>
      </c>
      <c r="K47" s="94"/>
      <c r="L47" s="89"/>
      <c r="M47" s="89"/>
      <c r="N47" s="89">
        <f>ROUND(N$29*I47,2)</f>
        <v>29.16</v>
      </c>
      <c r="O47" s="128">
        <f t="shared" si="0"/>
        <v>29.16</v>
      </c>
      <c r="P47" s="92">
        <f>'Rider Rates'!$D$87</f>
        <v>45929</v>
      </c>
      <c r="Q47" s="101"/>
      <c r="R47" s="94"/>
      <c r="S47" s="95"/>
      <c r="T47" s="72"/>
      <c r="U47" s="96"/>
      <c r="V47" s="72"/>
      <c r="W47" s="72"/>
      <c r="X47" s="72"/>
      <c r="Y47" s="72"/>
      <c r="Z47" s="72"/>
      <c r="AA47" s="72"/>
      <c r="AB47" s="72"/>
      <c r="AC47" s="72"/>
      <c r="AD47" s="72"/>
      <c r="AE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101</v>
      </c>
      <c r="B48" s="72"/>
      <c r="C48" s="72"/>
      <c r="D48" s="217">
        <f>$N$29</f>
        <v>825</v>
      </c>
      <c r="E48" s="97" t="s">
        <v>92</v>
      </c>
      <c r="F48" s="84" t="s">
        <v>80</v>
      </c>
      <c r="G48" s="120"/>
      <c r="H48" s="85"/>
      <c r="I48" s="119">
        <f>'Rider Rates'!$B$89</f>
        <v>7.8822199999999995E-2</v>
      </c>
      <c r="J48" s="119">
        <f>SUM(H48:I48)</f>
        <v>7.8822199999999995E-2</v>
      </c>
      <c r="K48" s="94"/>
      <c r="L48" s="89"/>
      <c r="M48" s="89"/>
      <c r="N48" s="89">
        <f>ROUND(N$29*I48,2)</f>
        <v>65.03</v>
      </c>
      <c r="O48" s="128">
        <f t="shared" si="0"/>
        <v>65.03</v>
      </c>
      <c r="P48" s="92">
        <f>'Rider Rates'!$D$89</f>
        <v>45987</v>
      </c>
      <c r="Q48" s="101"/>
      <c r="R48" s="94"/>
      <c r="S48" s="95"/>
      <c r="T48" s="72"/>
      <c r="U48" s="96"/>
      <c r="V48" s="72"/>
      <c r="W48" s="72"/>
      <c r="X48" s="72"/>
      <c r="Y48" s="72"/>
      <c r="Z48" s="72"/>
      <c r="AA48" s="72"/>
      <c r="AB48" s="72"/>
      <c r="AC48" s="72"/>
      <c r="AD48" s="72"/>
      <c r="AE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102</v>
      </c>
      <c r="B49" s="72"/>
      <c r="C49" s="72"/>
      <c r="D49" s="376"/>
      <c r="E49" s="97" t="s">
        <v>55</v>
      </c>
      <c r="F49" s="84"/>
      <c r="G49" s="120"/>
      <c r="H49" s="85"/>
      <c r="I49" s="121">
        <f>'Rider Rates'!$B$93</f>
        <v>21.84</v>
      </c>
      <c r="J49" s="121">
        <f>SUM(G49:I49)</f>
        <v>21.84</v>
      </c>
      <c r="K49" s="94"/>
      <c r="L49" s="89"/>
      <c r="M49" s="89"/>
      <c r="N49" s="89">
        <f>I49</f>
        <v>21.84</v>
      </c>
      <c r="O49" s="89">
        <f>SUM(L49:N49)</f>
        <v>21.84</v>
      </c>
      <c r="P49" s="92">
        <f>'Rider Rates'!$D$93</f>
        <v>46022</v>
      </c>
    </row>
    <row r="50" spans="1:221" x14ac:dyDescent="0.2">
      <c r="A50" s="72" t="s">
        <v>175</v>
      </c>
      <c r="B50" s="72"/>
      <c r="C50" s="72"/>
      <c r="D50" s="4">
        <f>$D$33</f>
        <v>0</v>
      </c>
      <c r="E50" s="97" t="s">
        <v>19</v>
      </c>
      <c r="F50" s="84" t="s">
        <v>80</v>
      </c>
      <c r="G50" s="100"/>
      <c r="H50" s="100"/>
      <c r="I50" s="100"/>
      <c r="J50" s="100">
        <f>'Rider Rates'!$B$98</f>
        <v>0</v>
      </c>
      <c r="K50" s="94" t="s">
        <v>85</v>
      </c>
      <c r="L50" s="89"/>
      <c r="M50" s="89"/>
      <c r="N50" s="189"/>
      <c r="O50" s="89">
        <f>ROUND($D50*('Rider Rates'!B$98),2)</f>
        <v>0</v>
      </c>
      <c r="P50" s="92">
        <f>'Rider Rates'!$D$98</f>
        <v>44531</v>
      </c>
      <c r="Q50" s="84"/>
      <c r="R50" s="101"/>
      <c r="S50" s="94"/>
      <c r="T50" s="95"/>
      <c r="U50" s="72"/>
      <c r="V50" s="96"/>
      <c r="W50" s="72"/>
      <c r="X50" s="72"/>
      <c r="Y50" s="72"/>
      <c r="Z50" s="72"/>
      <c r="AA50" s="72"/>
      <c r="AB50" s="72"/>
      <c r="AC50" s="72"/>
      <c r="AD50" s="72"/>
      <c r="AE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176</v>
      </c>
      <c r="B51" s="72"/>
      <c r="C51" s="72"/>
      <c r="D51" s="4">
        <f>$D$34</f>
        <v>0</v>
      </c>
      <c r="E51" s="97" t="s">
        <v>19</v>
      </c>
      <c r="F51" s="84" t="s">
        <v>80</v>
      </c>
      <c r="G51" s="100"/>
      <c r="H51" s="100"/>
      <c r="I51" s="100"/>
      <c r="J51" s="100">
        <f>'Rider Rates'!$B$99</f>
        <v>0</v>
      </c>
      <c r="K51" s="94" t="s">
        <v>85</v>
      </c>
      <c r="L51" s="89"/>
      <c r="M51" s="89"/>
      <c r="N51" s="189"/>
      <c r="O51" s="89">
        <f>ROUND($D51*('Rider Rates'!B$99),2)</f>
        <v>0</v>
      </c>
      <c r="P51" s="92">
        <f>'Rider Rates'!$D$99</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104</v>
      </c>
      <c r="B52" s="72"/>
      <c r="C52" s="72"/>
      <c r="D52" s="217">
        <f>$N$29</f>
        <v>825</v>
      </c>
      <c r="E52" s="97" t="s">
        <v>92</v>
      </c>
      <c r="F52" s="84" t="s">
        <v>80</v>
      </c>
      <c r="G52" s="120"/>
      <c r="H52" s="85"/>
      <c r="I52" s="119">
        <f>'Rider Rates'!$B$107</f>
        <v>0.24079249999999999</v>
      </c>
      <c r="J52" s="119">
        <f>SUM(H52:I52)</f>
        <v>0.24079249999999999</v>
      </c>
      <c r="K52" s="94"/>
      <c r="L52" s="89"/>
      <c r="M52" s="89"/>
      <c r="N52" s="89">
        <f>ROUND(N$29*I52,2)</f>
        <v>198.65</v>
      </c>
      <c r="O52" s="89">
        <f t="shared" si="0"/>
        <v>198.65</v>
      </c>
      <c r="P52" s="92">
        <f>'Rider Rates'!$D$107</f>
        <v>45987</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105</v>
      </c>
      <c r="B53" s="72"/>
      <c r="C53" s="72"/>
      <c r="D53" s="113"/>
      <c r="E53" s="97" t="s">
        <v>55</v>
      </c>
      <c r="F53" s="84"/>
      <c r="G53" s="120"/>
      <c r="H53" s="85"/>
      <c r="I53" s="123">
        <f>'Rider Rates'!B123</f>
        <v>0.99</v>
      </c>
      <c r="J53" s="121">
        <f>SUM(G53:I53)</f>
        <v>0.99</v>
      </c>
      <c r="K53" s="94"/>
      <c r="L53" s="89"/>
      <c r="M53" s="89"/>
      <c r="N53" s="125">
        <f>I53</f>
        <v>0.99</v>
      </c>
      <c r="O53" s="89">
        <f t="shared" ref="O53:O57" si="1">SUM(L53:N53)</f>
        <v>0.99</v>
      </c>
      <c r="P53" s="92">
        <f>'Rider Rates'!D123</f>
        <v>45958</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106</v>
      </c>
      <c r="B54" s="72"/>
      <c r="C54" s="72"/>
      <c r="D54" s="111">
        <f>IF('Customer Info'!$C$33=TRUE,0,'Customer Info'!$B$22+'Customer Info'!$B$23-'Customer Info'!$B$24)</f>
        <v>0</v>
      </c>
      <c r="E54" s="97" t="s">
        <v>19</v>
      </c>
      <c r="F54" s="84" t="s">
        <v>80</v>
      </c>
      <c r="G54" s="100">
        <f>'Rider Rates'!$B$115</f>
        <v>3.6865999999999999E-3</v>
      </c>
      <c r="H54" s="100"/>
      <c r="I54" s="119"/>
      <c r="J54" s="115">
        <f>SUM(G54:H54)</f>
        <v>3.6865999999999999E-3</v>
      </c>
      <c r="K54" s="94" t="s">
        <v>85</v>
      </c>
      <c r="L54" s="89">
        <f>ROUND(D54*G54,2)</f>
        <v>0</v>
      </c>
      <c r="M54" s="89"/>
      <c r="N54" s="89"/>
      <c r="O54" s="89">
        <f t="shared" si="1"/>
        <v>0</v>
      </c>
      <c r="P54" s="92">
        <f>'Rider Rates'!$D$115</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107</v>
      </c>
      <c r="B55" s="72"/>
      <c r="C55" s="72"/>
      <c r="D55" s="4">
        <f>IF($C$16&lt;1,0,$C$16)</f>
        <v>0</v>
      </c>
      <c r="E55" s="97" t="s">
        <v>19</v>
      </c>
      <c r="F55" s="126" t="s">
        <v>80</v>
      </c>
      <c r="G55" s="99"/>
      <c r="H55" s="99"/>
      <c r="I55" s="183">
        <f>'Rider Rates'!B119</f>
        <v>0</v>
      </c>
      <c r="J55" s="183">
        <f>SUM(G55:I55)</f>
        <v>0</v>
      </c>
      <c r="K55" s="94" t="s">
        <v>85</v>
      </c>
      <c r="L55" s="89"/>
      <c r="M55" s="89"/>
      <c r="N55" s="89">
        <f>D55*I55</f>
        <v>0</v>
      </c>
      <c r="O55" s="89">
        <f t="shared" si="1"/>
        <v>0</v>
      </c>
      <c r="P55" s="92">
        <f>'Rider Rates'!D119</f>
        <v>45657</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166</v>
      </c>
      <c r="B56" s="72"/>
      <c r="C56" s="72"/>
      <c r="D56" s="111">
        <f>IF(C16&lt;0,0,IF(C16&gt;833000,833000,C16))</f>
        <v>0</v>
      </c>
      <c r="E56" s="97" t="s">
        <v>19</v>
      </c>
      <c r="F56" s="84" t="s">
        <v>80</v>
      </c>
      <c r="G56" s="195"/>
      <c r="H56" s="195"/>
      <c r="I56" s="195">
        <f>'Rider Rates'!$B$127</f>
        <v>0</v>
      </c>
      <c r="J56" s="195">
        <f>SUM(G56:I56)</f>
        <v>0</v>
      </c>
      <c r="K56" s="94" t="s">
        <v>85</v>
      </c>
      <c r="L56" s="196"/>
      <c r="M56" s="196"/>
      <c r="N56" s="196">
        <f>IF(D56*J56&gt;'Rider Rates'!$C$127,'Rider Rates'!$C$127,D56*J56)</f>
        <v>0</v>
      </c>
      <c r="O56" s="196">
        <f t="shared" si="1"/>
        <v>0</v>
      </c>
      <c r="P56" s="129">
        <f>'Rider Rates'!$E$127</f>
        <v>45883</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167</v>
      </c>
      <c r="B57" s="72"/>
      <c r="C57" s="72"/>
      <c r="D57" s="4">
        <f>IF(C16&gt;833000,C16-833000,0)</f>
        <v>0</v>
      </c>
      <c r="E57" s="97" t="s">
        <v>19</v>
      </c>
      <c r="F57" s="84" t="s">
        <v>80</v>
      </c>
      <c r="G57" s="195"/>
      <c r="H57" s="195"/>
      <c r="I57" s="195">
        <f>'Rider Rates'!$B$128</f>
        <v>0</v>
      </c>
      <c r="J57" s="195">
        <f>SUM(G57:I57)</f>
        <v>0</v>
      </c>
      <c r="K57" s="94" t="s">
        <v>85</v>
      </c>
      <c r="L57" s="196"/>
      <c r="M57" s="196"/>
      <c r="N57" s="196">
        <f>D57*J57</f>
        <v>0</v>
      </c>
      <c r="O57" s="196">
        <f t="shared" si="1"/>
        <v>0</v>
      </c>
      <c r="P57" s="129">
        <f>'Rider Rates'!$E$128</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109</v>
      </c>
      <c r="B58" s="72"/>
      <c r="C58" s="72"/>
      <c r="D58" s="111">
        <f>D16</f>
        <v>0</v>
      </c>
      <c r="E58" s="97" t="s">
        <v>19</v>
      </c>
      <c r="F58" s="126" t="s">
        <v>80</v>
      </c>
      <c r="G58" s="100"/>
      <c r="H58" s="100"/>
      <c r="I58" s="100">
        <f>'Rider Rates'!$B$134</f>
        <v>0</v>
      </c>
      <c r="J58" s="115">
        <f>SUM(G58:I58)</f>
        <v>0</v>
      </c>
      <c r="K58" s="94" t="s">
        <v>85</v>
      </c>
      <c r="L58" s="89"/>
      <c r="M58" s="89"/>
      <c r="N58" s="89">
        <f>D58*J58</f>
        <v>0</v>
      </c>
      <c r="O58" s="89">
        <f>SUM(L58:N58)</f>
        <v>0</v>
      </c>
      <c r="P58" s="92">
        <f>'Rider Rates'!$D$132</f>
        <v>44531</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110</v>
      </c>
      <c r="B59" s="72"/>
      <c r="C59" s="72"/>
      <c r="D59" s="111"/>
      <c r="E59" s="97" t="s">
        <v>55</v>
      </c>
      <c r="F59" s="84" t="s">
        <v>80</v>
      </c>
      <c r="G59" s="127"/>
      <c r="H59" s="127"/>
      <c r="I59" s="127">
        <f>'Rider Rates'!$B$139</f>
        <v>0</v>
      </c>
      <c r="J59" s="127">
        <f>SUM(G59:I59)</f>
        <v>0</v>
      </c>
      <c r="K59" s="94"/>
      <c r="L59" s="128"/>
      <c r="M59" s="128"/>
      <c r="N59" s="128">
        <f>J59</f>
        <v>0</v>
      </c>
      <c r="O59" s="128">
        <f>SUM(L59:N59)</f>
        <v>0</v>
      </c>
      <c r="P59" s="129">
        <f>'Rider Rates'!$D$139</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111</v>
      </c>
      <c r="B60" s="72"/>
      <c r="C60" s="72"/>
      <c r="D60" s="111"/>
      <c r="E60" s="97"/>
      <c r="F60" s="84"/>
      <c r="G60" s="127"/>
      <c r="H60" s="127"/>
      <c r="I60" s="127"/>
      <c r="J60" s="127"/>
      <c r="K60" s="94"/>
      <c r="L60" s="128"/>
      <c r="M60" s="128"/>
      <c r="N60" s="128"/>
      <c r="O60" s="128"/>
      <c r="P60" s="129"/>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30" t="s">
        <v>112</v>
      </c>
      <c r="B61" s="69"/>
      <c r="C61" s="69"/>
      <c r="D61" s="131"/>
      <c r="E61" s="132"/>
      <c r="F61" s="133"/>
      <c r="G61" s="133"/>
      <c r="H61" s="133"/>
      <c r="I61" s="133"/>
      <c r="J61" s="133"/>
      <c r="K61" s="134"/>
      <c r="L61" s="105">
        <f>SUM(L33:L60)</f>
        <v>0</v>
      </c>
      <c r="M61" s="105">
        <f>SUM(M33:M60)</f>
        <v>0</v>
      </c>
      <c r="N61" s="105">
        <f>SUM(N33:N60)</f>
        <v>315.67</v>
      </c>
      <c r="O61" s="105">
        <f>SUM(O33:O60)</f>
        <v>315.67</v>
      </c>
      <c r="P61" s="135"/>
    </row>
    <row r="62" spans="1:221" x14ac:dyDescent="0.2">
      <c r="A62" s="144"/>
      <c r="D62" s="4"/>
      <c r="E62" s="152"/>
      <c r="F62" s="1"/>
      <c r="G62" s="218"/>
      <c r="H62" s="218"/>
      <c r="I62" s="218"/>
      <c r="J62" s="218"/>
      <c r="K62" s="154"/>
      <c r="L62" s="154"/>
      <c r="M62" s="154"/>
      <c r="N62" s="154"/>
      <c r="O62" s="213"/>
      <c r="P62" s="154"/>
    </row>
    <row r="63" spans="1:221" x14ac:dyDescent="0.2">
      <c r="A63" s="204" t="s">
        <v>178</v>
      </c>
      <c r="B63" s="186"/>
      <c r="C63" s="186"/>
      <c r="D63" s="186"/>
      <c r="E63" s="186"/>
      <c r="F63" s="186"/>
      <c r="G63" s="186"/>
      <c r="H63" s="186"/>
      <c r="I63" s="186"/>
      <c r="J63" s="186"/>
      <c r="K63" s="186"/>
      <c r="L63" s="219">
        <f>L29+L61</f>
        <v>0</v>
      </c>
      <c r="M63" s="219">
        <f>M29+M61</f>
        <v>0</v>
      </c>
      <c r="N63" s="219">
        <f>N29+N61</f>
        <v>1140.67</v>
      </c>
      <c r="O63" s="219">
        <f>O29+O61</f>
        <v>1140.67</v>
      </c>
      <c r="P63" s="219"/>
    </row>
    <row r="64" spans="1:221" x14ac:dyDescent="0.2">
      <c r="A64" s="144"/>
      <c r="B64" s="144"/>
      <c r="C64" s="144"/>
      <c r="D64" s="144"/>
      <c r="E64" s="144"/>
      <c r="F64" s="144"/>
      <c r="G64" s="144"/>
      <c r="H64" s="144"/>
      <c r="I64" s="144"/>
      <c r="J64" s="144"/>
      <c r="K64" s="144"/>
      <c r="L64" s="144"/>
      <c r="M64" s="144"/>
      <c r="N64" s="144"/>
      <c r="O64" s="171"/>
      <c r="P64" s="171"/>
    </row>
    <row r="65" spans="1:16" x14ac:dyDescent="0.2">
      <c r="A65" s="144" t="s">
        <v>191</v>
      </c>
      <c r="B65" s="144"/>
      <c r="C65" s="144"/>
      <c r="D65" s="144"/>
      <c r="E65" s="144"/>
      <c r="F65" s="144"/>
      <c r="G65" s="144"/>
      <c r="H65" s="144"/>
      <c r="I65" s="144"/>
      <c r="J65" s="144"/>
      <c r="K65" s="144"/>
      <c r="L65" s="144"/>
      <c r="M65" s="144"/>
      <c r="N65" s="144"/>
      <c r="O65" s="171">
        <f>O25+O27+O61</f>
        <v>1140.67</v>
      </c>
      <c r="P65" s="92">
        <v>40967</v>
      </c>
    </row>
    <row r="66" spans="1:16" x14ac:dyDescent="0.2">
      <c r="A66" s="144"/>
      <c r="B66" s="144"/>
      <c r="C66" s="144"/>
      <c r="D66" s="144"/>
      <c r="E66" s="144"/>
      <c r="F66" s="144"/>
      <c r="G66" s="220"/>
      <c r="H66" s="220"/>
      <c r="I66" s="220"/>
      <c r="J66" s="220"/>
      <c r="K66" s="154"/>
      <c r="L66" s="154"/>
      <c r="M66" s="154"/>
      <c r="N66" s="154"/>
      <c r="O66" s="171"/>
    </row>
    <row r="67" spans="1:16" x14ac:dyDescent="0.2">
      <c r="A67" s="155" t="s">
        <v>115</v>
      </c>
      <c r="B67" s="144"/>
      <c r="C67" s="144"/>
      <c r="D67" s="144"/>
      <c r="E67" s="144"/>
      <c r="F67" s="144"/>
      <c r="G67" s="220"/>
      <c r="H67" s="220"/>
      <c r="I67" s="220"/>
      <c r="J67" s="220"/>
      <c r="K67" s="154"/>
      <c r="L67" s="154"/>
      <c r="M67" s="154"/>
      <c r="N67" s="154"/>
      <c r="O67" s="142">
        <f>MAX($O$63,$O$65)</f>
        <v>1140.67</v>
      </c>
    </row>
    <row r="68" spans="1:16" x14ac:dyDescent="0.2">
      <c r="A68" s="144"/>
      <c r="B68" s="144"/>
      <c r="C68" s="144"/>
      <c r="D68" s="144"/>
      <c r="E68" s="144"/>
      <c r="F68" s="144"/>
      <c r="G68" s="220"/>
      <c r="H68" s="220"/>
      <c r="I68" s="220"/>
      <c r="J68" s="220"/>
      <c r="K68" s="154"/>
      <c r="L68" s="154"/>
      <c r="M68" s="154"/>
      <c r="N68" s="154"/>
      <c r="O68" s="171"/>
    </row>
    <row r="69" spans="1:16" x14ac:dyDescent="0.2">
      <c r="A69" s="144"/>
      <c r="B69" s="144"/>
      <c r="C69" s="144"/>
      <c r="D69" s="144"/>
      <c r="E69" s="144"/>
      <c r="F69" s="144"/>
      <c r="G69" s="153" t="s">
        <v>192</v>
      </c>
      <c r="H69" s="220"/>
      <c r="I69" s="144"/>
      <c r="J69" s="220"/>
      <c r="K69" s="154"/>
      <c r="L69" s="143"/>
      <c r="M69" s="143"/>
      <c r="N69" s="143"/>
      <c r="O69" s="143">
        <f>ROUND(IF($C$16&lt;1,0,$O$67/($C$16*100)*10000),2)</f>
        <v>0</v>
      </c>
      <c r="P69" s="144" t="s">
        <v>117</v>
      </c>
    </row>
    <row r="70" spans="1:16" x14ac:dyDescent="0.2">
      <c r="A70" s="144"/>
      <c r="B70" s="144"/>
      <c r="C70" s="144"/>
      <c r="D70" s="144"/>
      <c r="E70" s="144"/>
      <c r="F70" s="144"/>
      <c r="G70" s="146" t="s">
        <v>118</v>
      </c>
      <c r="H70" s="221"/>
      <c r="I70" s="64"/>
      <c r="J70" s="221"/>
      <c r="K70" s="222"/>
      <c r="L70" s="72"/>
      <c r="M70" s="72"/>
      <c r="N70" s="72"/>
      <c r="O70" s="147">
        <f>ROUND(IF($C$16&lt;1,0,(L63)/($C$16*100)*10000),2)</f>
        <v>0</v>
      </c>
      <c r="P70" s="59" t="s">
        <v>117</v>
      </c>
    </row>
    <row r="71" spans="1:16" x14ac:dyDescent="0.2">
      <c r="A71" s="144"/>
      <c r="B71" s="144"/>
      <c r="C71" s="144"/>
      <c r="D71" s="144"/>
      <c r="E71" s="144"/>
      <c r="F71" s="144"/>
      <c r="G71" s="153"/>
      <c r="H71" s="220"/>
      <c r="I71" s="153"/>
      <c r="J71" s="220"/>
      <c r="K71" s="154"/>
      <c r="L71" s="154"/>
      <c r="M71" s="154"/>
      <c r="N71" s="154"/>
      <c r="O71" s="223"/>
      <c r="P71" s="144"/>
    </row>
    <row r="72" spans="1:16" ht="20.25" customHeight="1" x14ac:dyDescent="0.3">
      <c r="A72" s="44"/>
      <c r="B72" s="144"/>
      <c r="C72" s="144"/>
      <c r="D72" s="224" t="str">
        <f>IF('Customer Info'!$C$33=TRUE,"Notice: Billing Charge does not include Self Assessed KWH Tax"," ")</f>
        <v xml:space="preserve"> </v>
      </c>
      <c r="E72" s="44"/>
      <c r="F72" s="1"/>
      <c r="G72" s="225"/>
      <c r="H72" s="226"/>
      <c r="I72" s="213"/>
      <c r="J72" s="226"/>
      <c r="K72" s="144"/>
      <c r="L72" s="144"/>
      <c r="M72" s="144"/>
      <c r="N72" s="213"/>
    </row>
    <row r="73" spans="1:16" x14ac:dyDescent="0.2">
      <c r="A73" s="144"/>
      <c r="B73" s="144"/>
      <c r="C73" s="144"/>
      <c r="D73" s="174"/>
      <c r="E73" s="44"/>
      <c r="F73" s="1"/>
      <c r="G73" s="226"/>
      <c r="H73" s="226"/>
      <c r="I73" s="227"/>
      <c r="J73" s="226"/>
      <c r="K73" s="144"/>
      <c r="L73" s="144"/>
      <c r="M73" s="144"/>
      <c r="N73" s="144"/>
      <c r="O73" s="171"/>
    </row>
    <row r="74" spans="1:16" x14ac:dyDescent="0.2">
      <c r="A74" s="144"/>
      <c r="B74" s="144"/>
      <c r="C74" s="144"/>
      <c r="D74" s="174"/>
      <c r="E74" s="44"/>
      <c r="F74" s="1"/>
      <c r="G74" s="226"/>
      <c r="H74" s="226"/>
      <c r="I74" s="226"/>
      <c r="J74" s="226"/>
      <c r="K74" s="144"/>
      <c r="L74" s="144"/>
      <c r="M74" s="144"/>
      <c r="N74" s="144"/>
      <c r="O74" s="171"/>
    </row>
    <row r="75" spans="1:16" x14ac:dyDescent="0.2">
      <c r="A75" s="155"/>
      <c r="B75" s="144"/>
      <c r="C75" s="144"/>
      <c r="D75" s="144"/>
      <c r="E75" s="144"/>
      <c r="F75" s="144"/>
      <c r="G75" s="144"/>
      <c r="H75" s="144"/>
      <c r="J75" s="144"/>
      <c r="K75" s="144"/>
      <c r="L75" s="171"/>
      <c r="M75" s="171"/>
      <c r="N75" s="171"/>
      <c r="O75" s="142"/>
    </row>
    <row r="76" spans="1:16" x14ac:dyDescent="0.2">
      <c r="B76" s="144"/>
      <c r="C76" s="144"/>
      <c r="D76" s="144"/>
      <c r="E76" s="144"/>
      <c r="F76" s="144"/>
      <c r="G76" s="153"/>
      <c r="H76" s="144"/>
      <c r="I76" s="144"/>
      <c r="J76" s="144"/>
      <c r="K76" s="144"/>
      <c r="L76" s="228"/>
      <c r="M76" s="228"/>
      <c r="N76" s="228"/>
      <c r="O76" s="223"/>
      <c r="P76" s="144"/>
    </row>
    <row r="77" spans="1:16" x14ac:dyDescent="0.2">
      <c r="G77" s="64"/>
      <c r="H77" s="148"/>
      <c r="I77" s="64"/>
      <c r="J77" s="148"/>
      <c r="K77" s="148"/>
      <c r="L77" s="149"/>
      <c r="M77" s="149"/>
      <c r="N77" s="149"/>
      <c r="O77" s="150"/>
      <c r="P77" s="59"/>
    </row>
    <row r="79" spans="1:16" x14ac:dyDescent="0.2">
      <c r="A79" s="431"/>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row r="89" spans="1:1" x14ac:dyDescent="0.2">
      <c r="A89" s="431"/>
    </row>
    <row r="90" spans="1:1" x14ac:dyDescent="0.2">
      <c r="A90" s="431"/>
    </row>
    <row r="91" spans="1:1" x14ac:dyDescent="0.2">
      <c r="A91" s="431"/>
    </row>
    <row r="92" spans="1:1" x14ac:dyDescent="0.2">
      <c r="A92" s="431"/>
    </row>
    <row r="93" spans="1:1" x14ac:dyDescent="0.2">
      <c r="A93" s="431"/>
    </row>
  </sheetData>
  <sheetProtection algorithmName="SHA-512" hashValue="Addbm+KQ9a+NaMEal4LIWASUWv5TFtH8SeorGxguVeo7k9kJBXD40UrTeAFOddM6SNFAzJaRQ7YTLjoTmM22kg==" saltValue="i/bnNcUr+UTDkcF6joXhN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9:A93"/>
    <mergeCell ref="A4:P4"/>
    <mergeCell ref="A7:P7"/>
    <mergeCell ref="A11:I11"/>
    <mergeCell ref="D20:H20"/>
    <mergeCell ref="D21:H21"/>
    <mergeCell ref="G23:J23"/>
    <mergeCell ref="L23:O23"/>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481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4818"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3481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2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2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3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3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4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4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5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5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6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6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7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7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CB2-567F-461D-A11B-9C7DC7780604}">
  <dimension ref="A1:IB88"/>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2" t="s">
        <v>50</v>
      </c>
      <c r="B1" s="432"/>
      <c r="C1" s="432"/>
      <c r="D1" s="432"/>
      <c r="E1" s="432"/>
      <c r="F1" s="432"/>
      <c r="G1" s="432"/>
      <c r="H1" s="432"/>
      <c r="I1" s="432"/>
      <c r="J1" s="432"/>
      <c r="K1" s="432"/>
      <c r="L1" s="432"/>
      <c r="M1" s="432"/>
      <c r="N1" s="432"/>
      <c r="O1" s="432"/>
      <c r="P1" s="432"/>
      <c r="Q1" s="52"/>
    </row>
    <row r="2" spans="1:59" ht="18" customHeight="1" x14ac:dyDescent="0.2">
      <c r="A2" s="433" t="s">
        <v>218</v>
      </c>
      <c r="B2" s="433"/>
      <c r="C2" s="433"/>
      <c r="D2" s="433"/>
      <c r="E2" s="433"/>
      <c r="F2" s="433"/>
      <c r="G2" s="433"/>
      <c r="H2" s="433"/>
      <c r="I2" s="433"/>
      <c r="J2" s="433"/>
      <c r="K2" s="433"/>
      <c r="L2" s="433"/>
      <c r="M2" s="433"/>
      <c r="N2" s="433"/>
      <c r="O2" s="433"/>
      <c r="P2" s="433"/>
    </row>
    <row r="3" spans="1:59" ht="18" x14ac:dyDescent="0.25">
      <c r="A3" s="433"/>
      <c r="B3" s="433"/>
      <c r="C3" s="433"/>
      <c r="D3" s="433"/>
      <c r="E3" s="433"/>
      <c r="F3" s="433"/>
      <c r="G3" s="433"/>
      <c r="H3" s="433"/>
      <c r="I3" s="433"/>
      <c r="J3" s="433"/>
      <c r="K3" s="433"/>
      <c r="L3" s="433"/>
      <c r="M3" s="433"/>
      <c r="N3" s="433"/>
      <c r="O3" s="433"/>
      <c r="P3" s="433"/>
      <c r="Q3" s="53"/>
    </row>
    <row r="4" spans="1:59"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46051</v>
      </c>
      <c r="B6" s="435" t="s">
        <v>219</v>
      </c>
      <c r="C6" s="435"/>
      <c r="D6" s="435"/>
      <c r="E6" s="435"/>
      <c r="F6" s="435"/>
      <c r="G6" s="435"/>
      <c r="H6" s="435"/>
      <c r="I6" s="435"/>
      <c r="J6" s="435"/>
      <c r="K6" s="435"/>
      <c r="L6" s="435"/>
      <c r="M6" s="435"/>
      <c r="N6" s="435"/>
      <c r="O6" s="435"/>
    </row>
    <row r="7" spans="1:59" x14ac:dyDescent="0.2">
      <c r="A7" s="436" t="s">
        <v>2</v>
      </c>
      <c r="B7" s="436"/>
      <c r="C7" s="436"/>
      <c r="D7" s="436"/>
      <c r="E7" s="436"/>
      <c r="F7" s="436"/>
      <c r="G7" s="436"/>
      <c r="H7" s="436"/>
      <c r="I7" s="436"/>
      <c r="J7" s="436"/>
      <c r="K7" s="436"/>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2</v>
      </c>
      <c r="C11" s="63" t="str">
        <f>LOOKUP($B$11,$S$11:$AD$11,S12:AD12)</f>
        <v>February</v>
      </c>
      <c r="D11" s="64">
        <f>'Customer Info'!C9</f>
        <v>2026</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7" t="s">
        <v>71</v>
      </c>
      <c r="H23" s="438"/>
      <c r="I23" s="438"/>
      <c r="J23" s="439"/>
      <c r="K23" s="83"/>
      <c r="L23" s="440" t="s">
        <v>72</v>
      </c>
      <c r="M23" s="441"/>
      <c r="N23" s="441"/>
      <c r="O23" s="442"/>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5.5215000000000004E-3</v>
      </c>
      <c r="J31" s="100">
        <f t="shared" ref="J31:J46" si="0">SUM(G31:I31)</f>
        <v>5.5215000000000004E-3</v>
      </c>
      <c r="K31" s="94" t="s">
        <v>85</v>
      </c>
      <c r="L31" s="89"/>
      <c r="M31" s="89"/>
      <c r="N31" s="89">
        <f t="shared" ref="N31:N37" si="1">ROUND(D31*I31,2)</f>
        <v>0</v>
      </c>
      <c r="O31" s="91">
        <f t="shared" ref="O31:O48" si="2">SUM(L31:N31)</f>
        <v>0</v>
      </c>
      <c r="P31" s="92">
        <f>'Rider Rates'!$D$4</f>
        <v>46022</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46022</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220</v>
      </c>
      <c r="B36" s="72"/>
      <c r="C36" s="72"/>
      <c r="D36" s="113">
        <f>$N$27</f>
        <v>10</v>
      </c>
      <c r="E36" s="97" t="s">
        <v>92</v>
      </c>
      <c r="F36" s="84" t="s">
        <v>80</v>
      </c>
      <c r="G36" s="100"/>
      <c r="H36" s="100"/>
      <c r="I36" s="114">
        <f>'Rider Rates'!$B$12</f>
        <v>0</v>
      </c>
      <c r="J36" s="114">
        <f t="shared" si="0"/>
        <v>0</v>
      </c>
      <c r="K36" s="94"/>
      <c r="L36" s="89"/>
      <c r="M36" s="89"/>
      <c r="N36" s="89">
        <f t="shared" si="1"/>
        <v>0</v>
      </c>
      <c r="O36" s="89">
        <f t="shared" si="2"/>
        <v>0</v>
      </c>
      <c r="P36" s="92">
        <f>'Rider Rates'!$D$12</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IF($D$17&lt;0,0,$D$17)</f>
        <v>0</v>
      </c>
      <c r="E37" s="97" t="s">
        <v>19</v>
      </c>
      <c r="F37" s="84" t="s">
        <v>80</v>
      </c>
      <c r="G37" s="100"/>
      <c r="H37" s="100"/>
      <c r="I37" s="100">
        <f>'Rider Rates'!B15</f>
        <v>0</v>
      </c>
      <c r="J37" s="100">
        <f>SUM(G37:I37)</f>
        <v>0</v>
      </c>
      <c r="K37" s="94" t="s">
        <v>85</v>
      </c>
      <c r="L37" s="89"/>
      <c r="M37" s="89"/>
      <c r="N37" s="89">
        <f t="shared" si="1"/>
        <v>0</v>
      </c>
      <c r="O37" s="89">
        <f t="shared" si="2"/>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91</v>
      </c>
      <c r="B38" s="72"/>
      <c r="C38" s="72"/>
      <c r="D38" s="113">
        <f>$N$27</f>
        <v>10</v>
      </c>
      <c r="E38" s="97" t="s">
        <v>92</v>
      </c>
      <c r="F38" s="84" t="s">
        <v>80</v>
      </c>
      <c r="G38" s="100"/>
      <c r="H38" s="100"/>
      <c r="I38" s="114">
        <f>'Rider Rates'!$B$18</f>
        <v>0</v>
      </c>
      <c r="J38" s="114">
        <f>SUM(G38:I38)</f>
        <v>0</v>
      </c>
      <c r="K38" s="94"/>
      <c r="L38" s="89"/>
      <c r="M38" s="89"/>
      <c r="N38" s="89">
        <f>ROUND($D$38*'Rider Rates'!$B$18,2)+ROUND($D$38*'Rider Rates'!$E$18,2)</f>
        <v>0</v>
      </c>
      <c r="O38" s="89">
        <f t="shared" si="2"/>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2" t="s">
        <v>96</v>
      </c>
      <c r="B39" s="72"/>
      <c r="C39" s="72"/>
      <c r="D39" s="111"/>
      <c r="E39" s="97" t="s">
        <v>55</v>
      </c>
      <c r="F39" s="84"/>
      <c r="G39" s="100"/>
      <c r="H39" s="100"/>
      <c r="I39" s="100">
        <f>'Rider Rates'!D52</f>
        <v>0</v>
      </c>
      <c r="J39" s="115">
        <f>SUM(G39:I39)</f>
        <v>0</v>
      </c>
      <c r="K39" s="94"/>
      <c r="L39" s="89"/>
      <c r="M39" s="89"/>
      <c r="N39" s="89">
        <f>J39</f>
        <v>0</v>
      </c>
      <c r="O39" s="89">
        <f>SUM(L39:N39)</f>
        <v>0</v>
      </c>
      <c r="P39" s="92">
        <f>'Rider Rates'!E52</f>
        <v>45883</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97</v>
      </c>
      <c r="B40" s="72"/>
      <c r="C40" s="72"/>
      <c r="D40" s="111">
        <f>IF($D$17&lt;0,0,$D$17)</f>
        <v>0</v>
      </c>
      <c r="E40" s="97" t="s">
        <v>19</v>
      </c>
      <c r="F40" s="84" t="s">
        <v>80</v>
      </c>
      <c r="G40" s="100"/>
      <c r="H40" s="100">
        <f>'Rider Rates'!$B$57</f>
        <v>3.55042E-2</v>
      </c>
      <c r="I40" s="100"/>
      <c r="J40" s="100">
        <f>SUM(G40:I40)</f>
        <v>3.55042E-2</v>
      </c>
      <c r="K40" s="94" t="s">
        <v>85</v>
      </c>
      <c r="L40" s="89"/>
      <c r="M40" s="89">
        <f>ROUND(D40*H40,2)</f>
        <v>0</v>
      </c>
      <c r="N40" s="116"/>
      <c r="O40" s="89">
        <f t="shared" si="2"/>
        <v>0</v>
      </c>
      <c r="P40" s="92">
        <f>'Rider Rates'!$D$57</f>
        <v>45929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98</v>
      </c>
      <c r="B41" s="72"/>
      <c r="C41" s="72"/>
      <c r="D41" s="111">
        <f>IF($D$17&lt;0,0,$D$17)</f>
        <v>0</v>
      </c>
      <c r="E41" s="97" t="s">
        <v>19</v>
      </c>
      <c r="F41" s="84" t="s">
        <v>80</v>
      </c>
      <c r="G41" s="100"/>
      <c r="H41" s="100"/>
      <c r="I41" s="100">
        <f>'Rider Rates'!$B$68</f>
        <v>7.3870000000000001E-4</v>
      </c>
      <c r="J41" s="100">
        <f t="shared" ref="J41" si="3">SUM(G41:I41)</f>
        <v>7.3870000000000001E-4</v>
      </c>
      <c r="K41" s="94" t="s">
        <v>85</v>
      </c>
      <c r="L41" s="89"/>
      <c r="M41" s="89"/>
      <c r="N41" s="89">
        <f>ROUND($D$41*'Rider Rates'!$B$68,2)</f>
        <v>0</v>
      </c>
      <c r="O41" s="91">
        <f t="shared" ref="O41" si="4">SUM(L41:N41)</f>
        <v>0</v>
      </c>
      <c r="P41" s="92">
        <f>'Rider Rates'!$D$68</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99</v>
      </c>
      <c r="B42" s="72"/>
      <c r="C42" s="72"/>
      <c r="D42" s="111">
        <f>IF('Customer Info'!C35=TRUE,0,IF($D$17&lt;0,0,$D$17))</f>
        <v>0</v>
      </c>
      <c r="E42" s="97" t="s">
        <v>19</v>
      </c>
      <c r="F42" s="84" t="s">
        <v>80</v>
      </c>
      <c r="G42" s="100"/>
      <c r="H42" s="100"/>
      <c r="I42" s="100">
        <f>'Rider Rates'!$B$71+'Rider Rates'!$C$71</f>
        <v>0</v>
      </c>
      <c r="J42" s="100">
        <f t="shared" si="0"/>
        <v>0</v>
      </c>
      <c r="K42" s="94" t="s">
        <v>85</v>
      </c>
      <c r="L42" s="89"/>
      <c r="M42" s="89"/>
      <c r="N42" s="89">
        <f>ROUND($D$42*'Rider Rates'!$B$71,2)+ROUND($D$42*'Rider Rates'!$C$71,2)</f>
        <v>0</v>
      </c>
      <c r="O42" s="91">
        <f t="shared" si="2"/>
        <v>0</v>
      </c>
      <c r="P42" s="92">
        <f>'Rider Rates'!$D$71</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100</v>
      </c>
      <c r="B43" s="72"/>
      <c r="C43" s="72"/>
      <c r="D43" s="113">
        <f>$N$27</f>
        <v>10</v>
      </c>
      <c r="E43" s="97" t="s">
        <v>92</v>
      </c>
      <c r="F43" s="84" t="s">
        <v>80</v>
      </c>
      <c r="G43" s="117"/>
      <c r="H43" s="118"/>
      <c r="I43" s="119">
        <f>'Rider Rates'!$B$87</f>
        <v>3.5344300000000002E-2</v>
      </c>
      <c r="J43" s="119">
        <f>SUM(G43:I43)</f>
        <v>3.5344300000000002E-2</v>
      </c>
      <c r="K43" s="94"/>
      <c r="L43" s="89"/>
      <c r="M43" s="89"/>
      <c r="N43" s="89">
        <f>ROUND(D43*I43,2)</f>
        <v>0.35</v>
      </c>
      <c r="O43" s="89">
        <f t="shared" si="2"/>
        <v>0.35</v>
      </c>
      <c r="P43" s="92">
        <f>'Rider Rates'!$D$87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101</v>
      </c>
      <c r="B44" s="72"/>
      <c r="C44" s="72"/>
      <c r="D44" s="113">
        <f>$N$27</f>
        <v>10</v>
      </c>
      <c r="E44" s="97" t="s">
        <v>92</v>
      </c>
      <c r="F44" s="84" t="s">
        <v>80</v>
      </c>
      <c r="G44" s="120"/>
      <c r="H44" s="85"/>
      <c r="I44" s="119">
        <f>'Rider Rates'!$B$89</f>
        <v>7.8822199999999995E-2</v>
      </c>
      <c r="J44" s="119">
        <f t="shared" si="0"/>
        <v>7.8822199999999995E-2</v>
      </c>
      <c r="K44" s="94"/>
      <c r="L44" s="89"/>
      <c r="M44" s="89"/>
      <c r="N44" s="89">
        <f>ROUND(D44*I44,2)</f>
        <v>0.79</v>
      </c>
      <c r="O44" s="89">
        <f t="shared" si="2"/>
        <v>0.79</v>
      </c>
      <c r="P44" s="92">
        <f>'Rider Rates'!$D$89</f>
        <v>45987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102</v>
      </c>
      <c r="B45" s="72"/>
      <c r="C45" s="72"/>
      <c r="D45" s="113"/>
      <c r="E45" s="97" t="s">
        <v>55</v>
      </c>
      <c r="F45" s="84"/>
      <c r="G45" s="120"/>
      <c r="H45" s="85"/>
      <c r="I45" s="121">
        <f>'Rider Rates'!$B$92</f>
        <v>2.62</v>
      </c>
      <c r="J45" s="121">
        <f>SUM(G45:I45)</f>
        <v>2.62</v>
      </c>
      <c r="K45" s="94"/>
      <c r="L45" s="89"/>
      <c r="M45" s="89"/>
      <c r="N45" s="89">
        <f>I45</f>
        <v>2.62</v>
      </c>
      <c r="O45" s="91">
        <f>SUM(L45:N45)</f>
        <v>2.62</v>
      </c>
      <c r="P45" s="92">
        <f>'Rider Rates'!$D$92</f>
        <v>46022</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$N$27</f>
        <v>10</v>
      </c>
      <c r="E46" s="97" t="s">
        <v>92</v>
      </c>
      <c r="F46" s="84" t="s">
        <v>80</v>
      </c>
      <c r="G46" s="120"/>
      <c r="H46" s="85"/>
      <c r="I46" s="119">
        <f>'Rider Rates'!$B$107</f>
        <v>0.24079249999999999</v>
      </c>
      <c r="J46" s="122">
        <f t="shared" si="0"/>
        <v>0.24079249999999999</v>
      </c>
      <c r="K46" s="94"/>
      <c r="L46" s="89"/>
      <c r="M46" s="89"/>
      <c r="N46" s="89">
        <f>ROUND(D46*I46,2)</f>
        <v>2.41</v>
      </c>
      <c r="O46" s="89">
        <f t="shared" si="2"/>
        <v>2.41</v>
      </c>
      <c r="P46" s="92">
        <f>'Rider Rates'!$D$107</f>
        <v>45987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Rates'!B122</f>
        <v>0.2</v>
      </c>
      <c r="J47" s="124">
        <f t="shared" ref="J47:J51" si="5">SUM(G47:I47)</f>
        <v>0.2</v>
      </c>
      <c r="K47" s="94"/>
      <c r="L47" s="89"/>
      <c r="M47" s="89"/>
      <c r="N47" s="125">
        <f>I47</f>
        <v>0.2</v>
      </c>
      <c r="O47" s="89">
        <f>SUM(L47:N47)</f>
        <v>0.2</v>
      </c>
      <c r="P47" s="92">
        <f>'Rider Rates'!D122</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107</v>
      </c>
      <c r="B48" s="72"/>
      <c r="C48" s="72"/>
      <c r="D48" s="111">
        <f>IF($D$17&lt;1,0,$D$17)</f>
        <v>0</v>
      </c>
      <c r="E48" s="97" t="s">
        <v>19</v>
      </c>
      <c r="F48" s="126" t="s">
        <v>80</v>
      </c>
      <c r="G48" s="100"/>
      <c r="H48" s="100"/>
      <c r="I48" s="100">
        <f>'Rider Rates'!$B$118</f>
        <v>0</v>
      </c>
      <c r="J48" s="115">
        <f t="shared" si="5"/>
        <v>0</v>
      </c>
      <c r="K48" s="94" t="s">
        <v>85</v>
      </c>
      <c r="L48" s="89"/>
      <c r="M48" s="89"/>
      <c r="N48" s="89">
        <f>D48*J48</f>
        <v>0</v>
      </c>
      <c r="O48" s="89">
        <f t="shared" si="2"/>
        <v>0</v>
      </c>
      <c r="P48" s="92">
        <f>'Rider Rates'!D118</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108</v>
      </c>
      <c r="B49" s="72"/>
      <c r="C49" s="72"/>
      <c r="D49" s="111"/>
      <c r="E49" s="97" t="s">
        <v>55</v>
      </c>
      <c r="F49" s="84" t="s">
        <v>80</v>
      </c>
      <c r="G49" s="127"/>
      <c r="H49" s="127"/>
      <c r="I49" s="127">
        <f>'Rider Rates'!$B$126</f>
        <v>0</v>
      </c>
      <c r="J49" s="127">
        <f t="shared" si="5"/>
        <v>0</v>
      </c>
      <c r="K49" s="94"/>
      <c r="L49" s="128"/>
      <c r="M49" s="128"/>
      <c r="N49" s="128">
        <f>J49</f>
        <v>0</v>
      </c>
      <c r="O49" s="128">
        <f>SUM(L49:N49)</f>
        <v>0</v>
      </c>
      <c r="P49" s="129">
        <f>'Rider Rates'!E126</f>
        <v>45883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109</v>
      </c>
      <c r="B50" s="72"/>
      <c r="C50" s="72"/>
      <c r="D50" s="111">
        <f>D17</f>
        <v>0</v>
      </c>
      <c r="E50" s="97" t="s">
        <v>19</v>
      </c>
      <c r="F50" s="126" t="s">
        <v>80</v>
      </c>
      <c r="G50" s="100"/>
      <c r="H50" s="100"/>
      <c r="I50" s="100">
        <f>'Rider Rates'!B131</f>
        <v>0</v>
      </c>
      <c r="J50" s="115">
        <f t="shared" si="5"/>
        <v>0</v>
      </c>
      <c r="K50" s="94" t="s">
        <v>85</v>
      </c>
      <c r="L50" s="89"/>
      <c r="M50" s="89"/>
      <c r="N50" s="89">
        <f>D50*J50</f>
        <v>0</v>
      </c>
      <c r="O50" s="89">
        <f>SUM(L50:N50)</f>
        <v>0</v>
      </c>
      <c r="P50" s="92">
        <f>'Rider Rates'!D131</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110</v>
      </c>
      <c r="B51" s="72"/>
      <c r="C51" s="72"/>
      <c r="D51" s="111"/>
      <c r="E51" s="97" t="s">
        <v>55</v>
      </c>
      <c r="F51" s="84" t="s">
        <v>80</v>
      </c>
      <c r="G51" s="127"/>
      <c r="H51" s="127"/>
      <c r="I51" s="127">
        <f>'Rider Rates'!$B$138</f>
        <v>0</v>
      </c>
      <c r="J51" s="127">
        <f t="shared" si="5"/>
        <v>0</v>
      </c>
      <c r="K51" s="94"/>
      <c r="L51" s="128"/>
      <c r="M51" s="128"/>
      <c r="N51" s="128">
        <f>J51</f>
        <v>0</v>
      </c>
      <c r="O51" s="128">
        <f>SUM(L51:N51)</f>
        <v>0</v>
      </c>
      <c r="P51" s="129">
        <f>'Rider Rates'!D138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111</v>
      </c>
      <c r="B52" s="72"/>
      <c r="C52" s="72"/>
      <c r="D52" s="111"/>
      <c r="E52" s="97"/>
      <c r="F52" s="84"/>
      <c r="G52" s="127"/>
      <c r="H52" s="127"/>
      <c r="I52" s="127"/>
      <c r="J52" s="127"/>
      <c r="K52" s="94"/>
      <c r="L52" s="128"/>
      <c r="M52" s="128"/>
      <c r="N52" s="128"/>
      <c r="O52" s="128"/>
      <c r="P52" s="129"/>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130" t="s">
        <v>112</v>
      </c>
      <c r="B53" s="69"/>
      <c r="C53" s="69"/>
      <c r="D53" s="131"/>
      <c r="E53" s="132"/>
      <c r="F53" s="133"/>
      <c r="G53" s="133"/>
      <c r="H53" s="133"/>
      <c r="I53" s="133"/>
      <c r="J53" s="133"/>
      <c r="K53" s="134"/>
      <c r="L53" s="105">
        <f>SUM(L31:L52)</f>
        <v>0</v>
      </c>
      <c r="M53" s="105">
        <f>SUM(M31:M52)</f>
        <v>0</v>
      </c>
      <c r="N53" s="105">
        <f>SUM(N31:N52)</f>
        <v>6.37</v>
      </c>
      <c r="O53" s="105">
        <f>SUM(O31:O52)</f>
        <v>6.37</v>
      </c>
      <c r="P53" s="135"/>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111"/>
      <c r="E54" s="97"/>
      <c r="F54" s="84"/>
      <c r="G54" s="84"/>
      <c r="H54" s="84"/>
      <c r="I54" s="84"/>
      <c r="J54" s="101"/>
      <c r="K54" s="94"/>
      <c r="L54" s="84"/>
      <c r="M54" s="84"/>
      <c r="N54" s="84"/>
      <c r="O54" s="84"/>
      <c r="P54" s="137"/>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8" t="s">
        <v>113</v>
      </c>
      <c r="B55" s="106"/>
      <c r="C55" s="106"/>
      <c r="D55" s="106"/>
      <c r="E55" s="106"/>
      <c r="F55" s="106"/>
      <c r="G55" s="106"/>
      <c r="H55" s="106"/>
      <c r="I55" s="106"/>
      <c r="J55" s="106"/>
      <c r="K55" s="106"/>
      <c r="L55" s="139">
        <f>L27+L53</f>
        <v>0</v>
      </c>
      <c r="M55" s="139">
        <f>M27+M53</f>
        <v>0</v>
      </c>
      <c r="N55" s="139">
        <f>N27+N53</f>
        <v>16.37</v>
      </c>
      <c r="O55" s="140">
        <f>O27+O53</f>
        <v>16.37</v>
      </c>
      <c r="P55" s="140"/>
      <c r="Q55" s="84"/>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72"/>
      <c r="C57" s="72"/>
      <c r="D57" s="72"/>
      <c r="E57" s="72"/>
      <c r="F57" s="72"/>
      <c r="G57" s="72"/>
      <c r="H57" s="72"/>
      <c r="I57" s="72"/>
      <c r="J57" s="72"/>
      <c r="K57" s="72"/>
      <c r="L57" s="72"/>
      <c r="M57" s="72"/>
      <c r="N57" s="72"/>
      <c r="O57" s="72"/>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102" t="s">
        <v>114</v>
      </c>
      <c r="B58" s="72"/>
      <c r="C58" s="72"/>
      <c r="D58" s="72"/>
      <c r="E58" s="72"/>
      <c r="F58" s="72"/>
      <c r="G58" s="72"/>
      <c r="H58" s="72"/>
      <c r="I58" s="72"/>
      <c r="J58" s="72"/>
      <c r="K58" s="72"/>
      <c r="L58" s="72"/>
      <c r="M58" s="72"/>
      <c r="N58" s="72"/>
      <c r="O58" s="95">
        <f>IF(D17&lt;0,MIN(O25,O55),O25)</f>
        <v>10</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102" t="s">
        <v>2</v>
      </c>
      <c r="B59" s="102"/>
      <c r="C59" s="102"/>
      <c r="D59" s="102"/>
      <c r="E59" s="102"/>
      <c r="F59" s="102"/>
      <c r="G59" s="102"/>
      <c r="H59" s="102"/>
      <c r="I59" s="72"/>
      <c r="J59" s="72"/>
      <c r="K59" s="72"/>
      <c r="L59" s="72"/>
      <c r="M59" s="72"/>
      <c r="N59" s="72"/>
      <c r="O59" s="72"/>
      <c r="P59" s="72"/>
      <c r="Q59" s="72"/>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69" t="s">
        <v>115</v>
      </c>
      <c r="B60" s="72"/>
      <c r="C60" s="72"/>
      <c r="D60" s="72"/>
      <c r="E60" s="72"/>
      <c r="F60" s="72"/>
      <c r="G60" s="72"/>
      <c r="H60" s="72"/>
      <c r="I60" s="72"/>
      <c r="J60" s="72"/>
      <c r="K60" s="72"/>
      <c r="L60" s="72"/>
      <c r="M60" s="72"/>
      <c r="N60" s="72"/>
      <c r="O60" s="141">
        <f>IF($D$17&lt;0,O55,IF(O55&gt;O58,O55,O58))</f>
        <v>16.37</v>
      </c>
      <c r="P60" s="84"/>
      <c r="Q60" s="72"/>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69"/>
      <c r="B61" s="72"/>
      <c r="C61" s="72"/>
      <c r="D61" s="72"/>
      <c r="E61" s="72"/>
      <c r="F61" s="72"/>
      <c r="G61" s="72"/>
      <c r="H61" s="72"/>
      <c r="I61" s="72"/>
      <c r="J61" s="72"/>
      <c r="K61" s="72"/>
      <c r="L61" s="72"/>
      <c r="M61" s="72"/>
      <c r="N61" s="72"/>
      <c r="O61" s="142"/>
      <c r="P61" s="84"/>
      <c r="Q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c r="B62" s="102"/>
      <c r="C62" s="102"/>
      <c r="D62" s="102"/>
      <c r="E62" s="102"/>
      <c r="F62" s="102"/>
      <c r="G62" s="102"/>
      <c r="H62" s="102"/>
      <c r="I62" s="102" t="s">
        <v>116</v>
      </c>
      <c r="J62" s="102"/>
      <c r="K62" s="102"/>
      <c r="L62" s="143"/>
      <c r="M62" s="143"/>
      <c r="N62" s="143"/>
      <c r="O62" s="143">
        <f>ROUND(IF($D$17&lt;1,0,O55/($D$17*100)*10000),2)</f>
        <v>0</v>
      </c>
      <c r="P62" s="144" t="s">
        <v>117</v>
      </c>
      <c r="Q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
      <c r="A63" s="144"/>
      <c r="B63" s="72"/>
      <c r="C63" s="72"/>
      <c r="D63" s="72"/>
      <c r="E63" s="72"/>
      <c r="F63" s="72"/>
      <c r="G63" s="72"/>
      <c r="H63" s="145"/>
      <c r="I63" s="146" t="s">
        <v>118</v>
      </c>
      <c r="J63" s="72"/>
      <c r="K63" s="72"/>
      <c r="L63" s="72"/>
      <c r="M63" s="72"/>
      <c r="N63" s="72"/>
      <c r="O63" s="147">
        <f>ROUND(IF($D$17&lt;1,0,(L55)/($D$17*100)*10000),2)</f>
        <v>0</v>
      </c>
      <c r="P63" s="59" t="s">
        <v>117</v>
      </c>
      <c r="Q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
      <c r="A64" s="76"/>
      <c r="B64" s="72"/>
      <c r="C64" s="72"/>
      <c r="D64" s="111"/>
      <c r="E64" s="97"/>
      <c r="F64" s="84"/>
      <c r="G64" s="64"/>
      <c r="H64" s="148"/>
      <c r="I64" s="64"/>
      <c r="J64" s="59"/>
      <c r="K64" s="59"/>
      <c r="L64" s="149"/>
      <c r="M64" s="149"/>
      <c r="N64" s="149"/>
      <c r="O64" s="150"/>
      <c r="Q64" s="151"/>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21" x14ac:dyDescent="0.2">
      <c r="A65" s="76"/>
      <c r="B65" s="72"/>
      <c r="C65" s="72"/>
      <c r="D65" s="111"/>
      <c r="E65" s="97"/>
      <c r="F65" s="84"/>
      <c r="Q65" s="151"/>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21" x14ac:dyDescent="0.2">
      <c r="A66" s="72"/>
      <c r="D66" s="4"/>
      <c r="E66" s="152"/>
      <c r="F66" s="84"/>
      <c r="Q66" s="151"/>
    </row>
    <row r="67" spans="1:221" x14ac:dyDescent="0.2">
      <c r="A67" s="153"/>
      <c r="D67" s="4"/>
      <c r="E67" s="152"/>
      <c r="F67" s="1"/>
      <c r="Q67" s="154"/>
    </row>
    <row r="68" spans="1:221" x14ac:dyDescent="0.2">
      <c r="A68" s="153"/>
      <c r="D68" s="4"/>
      <c r="E68" s="152"/>
      <c r="F68" s="1"/>
      <c r="Q68" s="154"/>
    </row>
    <row r="69" spans="1:221" x14ac:dyDescent="0.2">
      <c r="A69" s="155"/>
      <c r="B69" s="144"/>
      <c r="C69" s="144"/>
      <c r="D69" s="144"/>
      <c r="E69" s="144"/>
      <c r="F69" s="144"/>
    </row>
    <row r="70" spans="1:221" x14ac:dyDescent="0.2">
      <c r="B70" s="144"/>
      <c r="C70" s="144"/>
      <c r="D70" s="144"/>
      <c r="E70" s="144"/>
      <c r="F70" s="144"/>
      <c r="P70" s="144"/>
      <c r="Q70" s="144"/>
    </row>
    <row r="71" spans="1:221" x14ac:dyDescent="0.2">
      <c r="B71" s="144"/>
      <c r="C71" s="144"/>
      <c r="D71" s="144"/>
      <c r="E71" s="144"/>
      <c r="F71" s="144"/>
      <c r="P71" s="59"/>
      <c r="Q71" s="59"/>
    </row>
    <row r="74" spans="1:221" x14ac:dyDescent="0.2">
      <c r="A74" s="431"/>
    </row>
    <row r="75" spans="1:221" x14ac:dyDescent="0.2">
      <c r="A75" s="431"/>
    </row>
    <row r="76" spans="1:221" x14ac:dyDescent="0.2">
      <c r="A76" s="431"/>
    </row>
    <row r="77" spans="1:221" x14ac:dyDescent="0.2">
      <c r="A77" s="431"/>
    </row>
    <row r="78" spans="1:221" x14ac:dyDescent="0.2">
      <c r="A78" s="431"/>
    </row>
    <row r="79" spans="1:221" x14ac:dyDescent="0.2">
      <c r="A79" s="431"/>
    </row>
    <row r="80" spans="1:221"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sheetData>
  <sheetProtection algorithmName="SHA-512" hashValue="r6crWOOClh//6iWcZgq3XPTM6opPv/GPYGLnFKvNlIxcg8I5o2IuvtBmSpO7esRXRlVhJn/dDSjanAPeON1BKA==" saltValue="VdMHqwgxXwg5UktXBq6fE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1506" r:id="rId5" name="Button 2">
              <controlPr defaultSize="0" print="0" autoFill="0" autoPict="0" macro="[0]!Info">
                <anchor moveWithCells="1">
                  <from>
                    <xdr:col>16</xdr:col>
                    <xdr:colOff>390525</xdr:colOff>
                    <xdr:row>81</xdr:row>
                    <xdr:rowOff>38100</xdr:rowOff>
                  </from>
                  <to>
                    <xdr:col>30</xdr:col>
                    <xdr:colOff>161925</xdr:colOff>
                    <xdr:row>82</xdr:row>
                    <xdr:rowOff>85725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8C728-9D2F-4FD6-BD21-5EBE0EA273DB}">
  <dimension ref="A1:IB93"/>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2" t="s">
        <v>50</v>
      </c>
      <c r="B1" s="432"/>
      <c r="C1" s="432"/>
      <c r="D1" s="432"/>
      <c r="E1" s="432"/>
      <c r="F1" s="432"/>
      <c r="G1" s="432"/>
      <c r="H1" s="432"/>
      <c r="I1" s="432"/>
      <c r="J1" s="432"/>
      <c r="K1" s="432"/>
      <c r="L1" s="432"/>
      <c r="M1" s="432"/>
      <c r="N1" s="432"/>
      <c r="O1" s="432"/>
      <c r="P1" s="432"/>
      <c r="Q1" s="52"/>
    </row>
    <row r="2" spans="1:59" ht="20.25" x14ac:dyDescent="0.3">
      <c r="A2" s="432" t="s">
        <v>138</v>
      </c>
      <c r="B2" s="432"/>
      <c r="C2" s="432"/>
      <c r="D2" s="432"/>
      <c r="E2" s="432"/>
      <c r="F2" s="432"/>
      <c r="G2" s="432"/>
      <c r="H2" s="432"/>
      <c r="I2" s="432"/>
      <c r="J2" s="432"/>
      <c r="K2" s="432"/>
      <c r="L2" s="432"/>
      <c r="M2" s="432"/>
      <c r="N2" s="432"/>
      <c r="O2" s="432"/>
      <c r="P2" s="432"/>
    </row>
    <row r="3" spans="1:59" ht="18" x14ac:dyDescent="0.25">
      <c r="A3" s="449" t="s">
        <v>147</v>
      </c>
      <c r="B3" s="449"/>
      <c r="C3" s="449"/>
      <c r="D3" s="449"/>
      <c r="E3" s="449"/>
      <c r="F3" s="449"/>
      <c r="G3" s="449"/>
      <c r="H3" s="449"/>
      <c r="I3" s="449"/>
      <c r="J3" s="449"/>
      <c r="K3" s="449"/>
      <c r="L3" s="449"/>
      <c r="M3" s="449"/>
      <c r="N3" s="449"/>
      <c r="O3" s="449"/>
      <c r="P3" s="449"/>
      <c r="Q3" s="53"/>
    </row>
    <row r="4" spans="1:59"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46051</v>
      </c>
      <c r="B6" s="435" t="s">
        <v>148</v>
      </c>
      <c r="C6" s="435"/>
      <c r="D6" s="435"/>
      <c r="E6" s="435"/>
      <c r="F6" s="435"/>
      <c r="G6" s="435"/>
      <c r="H6" s="435"/>
      <c r="I6" s="435"/>
      <c r="J6" s="435"/>
      <c r="K6" s="435"/>
      <c r="L6" s="435"/>
      <c r="M6" s="435"/>
      <c r="N6" s="435"/>
      <c r="O6" s="435"/>
    </row>
    <row r="7" spans="1:59" x14ac:dyDescent="0.2">
      <c r="A7" s="436" t="s">
        <v>2</v>
      </c>
      <c r="B7" s="436"/>
      <c r="C7" s="436"/>
      <c r="D7" s="436"/>
      <c r="E7" s="436"/>
      <c r="F7" s="436"/>
      <c r="G7" s="436"/>
      <c r="H7" s="436"/>
      <c r="I7" s="436"/>
      <c r="J7" s="436"/>
      <c r="K7" s="436"/>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2</v>
      </c>
      <c r="C11" s="63" t="str">
        <f>LOOKUP($B$11,$S$11:$AD$11,S12:AD12)</f>
        <v>February</v>
      </c>
      <c r="D11" s="64">
        <f>'Customer Info'!C9</f>
        <v>2026</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7" t="s">
        <v>71</v>
      </c>
      <c r="H23" s="438"/>
      <c r="I23" s="438"/>
      <c r="J23" s="439"/>
      <c r="K23" s="83"/>
      <c r="L23" s="440" t="s">
        <v>72</v>
      </c>
      <c r="M23" s="441"/>
      <c r="N23" s="441"/>
      <c r="O23" s="442"/>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IF($D$19&lt;0,0,IF($D$19&gt;833000,833000,$D$19))</f>
        <v>0</v>
      </c>
      <c r="E32" s="97" t="s">
        <v>19</v>
      </c>
      <c r="F32" s="84" t="s">
        <v>80</v>
      </c>
      <c r="G32" s="100"/>
      <c r="H32" s="100"/>
      <c r="I32" s="100">
        <f>'Rider Rates'!$B$4</f>
        <v>5.5215000000000004E-3</v>
      </c>
      <c r="J32" s="100">
        <f t="shared" ref="J32:J38" si="1">SUM(G32:I32)</f>
        <v>5.5215000000000004E-3</v>
      </c>
      <c r="K32" s="94" t="s">
        <v>85</v>
      </c>
      <c r="L32" s="89"/>
      <c r="M32" s="89"/>
      <c r="N32" s="89">
        <f t="shared" ref="N32:N37" si="2">ROUND(D32*I32,2)</f>
        <v>0</v>
      </c>
      <c r="O32" s="91">
        <f t="shared" ref="O32:O53" si="3">SUM(L32:N32)</f>
        <v>0</v>
      </c>
      <c r="P32" s="92">
        <f>'Rider Rates'!$D$4</f>
        <v>46022</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46022</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IF($D$19&lt;0,0,$D$19)</f>
        <v>0</v>
      </c>
      <c r="E37" s="97" t="s">
        <v>19</v>
      </c>
      <c r="F37" s="84" t="s">
        <v>80</v>
      </c>
      <c r="G37" s="100"/>
      <c r="H37" s="100"/>
      <c r="I37" s="100">
        <f>'Rider Rates'!$B$15</f>
        <v>0</v>
      </c>
      <c r="J37" s="100">
        <f t="shared" si="1"/>
        <v>0</v>
      </c>
      <c r="K37" s="94" t="s">
        <v>85</v>
      </c>
      <c r="L37" s="89"/>
      <c r="M37" s="89"/>
      <c r="N37" s="89">
        <f t="shared" si="2"/>
        <v>0</v>
      </c>
      <c r="O37" s="89">
        <f t="shared" si="3"/>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f>
        <v>0</v>
      </c>
      <c r="E39" s="97" t="s">
        <v>19</v>
      </c>
      <c r="F39" s="84" t="s">
        <v>80</v>
      </c>
      <c r="G39" s="100"/>
      <c r="H39" s="100"/>
      <c r="I39" s="100"/>
      <c r="J39" s="115">
        <f>SUM(G39:H39)</f>
        <v>0</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f>
        <v>0</v>
      </c>
      <c r="E40" s="97" t="s">
        <v>19</v>
      </c>
      <c r="F40" s="84" t="s">
        <v>80</v>
      </c>
      <c r="G40" s="100"/>
      <c r="H40" s="100"/>
      <c r="I40" s="100"/>
      <c r="J40" s="115">
        <f>SUM(G40:H40)</f>
        <v>0</v>
      </c>
      <c r="K40" s="94" t="s">
        <v>85</v>
      </c>
      <c r="L40" s="90">
        <f>ROUND($D$40*$G$40,2)</f>
        <v>0</v>
      </c>
      <c r="M40" s="89"/>
      <c r="N40" s="89"/>
      <c r="O40" s="89">
        <f>SUM(L40:N40)</f>
        <v>0</v>
      </c>
      <c r="P40" s="92">
        <f>'Rider Rates'!D34</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c r="H41" s="100"/>
      <c r="I41" s="100"/>
      <c r="J41" s="115">
        <f>SUM(G41:H41)</f>
        <v>0</v>
      </c>
      <c r="K41" s="94" t="s">
        <v>85</v>
      </c>
      <c r="L41" s="89">
        <f>ROUND(D41*G41,2)</f>
        <v>0</v>
      </c>
      <c r="M41" s="89"/>
      <c r="N41" s="89"/>
      <c r="O41" s="89">
        <f t="shared" si="3"/>
        <v>0</v>
      </c>
      <c r="P41" s="92">
        <f>'Rider Rates'!$D$49</f>
        <v>46022</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IF($D$19&lt;0,0,$D$19)</f>
        <v>0</v>
      </c>
      <c r="E43" s="97" t="s">
        <v>19</v>
      </c>
      <c r="F43" s="84" t="s">
        <v>80</v>
      </c>
      <c r="G43" s="100"/>
      <c r="H43" s="100">
        <f>'Rider Rates'!$B$57</f>
        <v>3.55042E-2</v>
      </c>
      <c r="I43" s="100"/>
      <c r="J43" s="100">
        <f t="shared" si="4"/>
        <v>3.55042E-2</v>
      </c>
      <c r="K43" s="94" t="s">
        <v>85</v>
      </c>
      <c r="L43" s="89"/>
      <c r="M43" s="89">
        <f>ROUND(D43*H43,2)</f>
        <v>0</v>
      </c>
      <c r="N43" s="116"/>
      <c r="O43" s="89">
        <f t="shared" si="3"/>
        <v>0</v>
      </c>
      <c r="P43" s="92">
        <f>'Rider Rates'!$D$57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IF($D$19&lt;0,0,$D$19)</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3.5344300000000002E-2</v>
      </c>
      <c r="J46" s="119">
        <f t="shared" si="4"/>
        <v>3.5344300000000002E-2</v>
      </c>
      <c r="K46" s="94"/>
      <c r="L46" s="89"/>
      <c r="M46" s="89"/>
      <c r="N46" s="89">
        <f>ROUND(D46*I46,2)</f>
        <v>0.35</v>
      </c>
      <c r="O46" s="89">
        <f t="shared" si="3"/>
        <v>0.35</v>
      </c>
      <c r="P46" s="92">
        <f>'Rider Rates'!$D$87</f>
        <v>45929</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7.8822199999999995E-2</v>
      </c>
      <c r="J47" s="119">
        <f t="shared" si="4"/>
        <v>7.8822199999999995E-2</v>
      </c>
      <c r="K47" s="94"/>
      <c r="L47" s="89"/>
      <c r="M47" s="89"/>
      <c r="N47" s="89">
        <f>ROUND(D47*I47,2)</f>
        <v>0.79</v>
      </c>
      <c r="O47" s="89">
        <f t="shared" si="3"/>
        <v>0.79</v>
      </c>
      <c r="P47" s="92">
        <f>'Rider Rates'!$D$89</f>
        <v>45987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2.62</v>
      </c>
      <c r="J48" s="121">
        <f t="shared" si="4"/>
        <v>2.62</v>
      </c>
      <c r="K48" s="94"/>
      <c r="L48" s="89"/>
      <c r="M48" s="89"/>
      <c r="N48" s="89">
        <f>I48</f>
        <v>2.62</v>
      </c>
      <c r="O48" s="91">
        <f>SUM(L48:N48)</f>
        <v>2.62</v>
      </c>
      <c r="P48" s="92">
        <f>'Rider Rates'!$D$92</f>
        <v>46022</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0.24079249999999999</v>
      </c>
      <c r="J50" s="122">
        <f>SUM(G50:I50)</f>
        <v>0.24079249999999999</v>
      </c>
      <c r="K50" s="94"/>
      <c r="L50" s="89"/>
      <c r="M50" s="89"/>
      <c r="N50" s="89">
        <f>ROUND(D50*I50,2)</f>
        <v>2.41</v>
      </c>
      <c r="O50" s="89">
        <f t="shared" si="3"/>
        <v>2.41</v>
      </c>
      <c r="P50" s="92">
        <f>'Rider Rates'!$D$107</f>
        <v>45987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0.2</v>
      </c>
      <c r="J51" s="124">
        <f>SUM(G51:I51)</f>
        <v>0.2</v>
      </c>
      <c r="K51" s="94"/>
      <c r="L51" s="89"/>
      <c r="M51" s="89"/>
      <c r="N51" s="125">
        <f>I51</f>
        <v>0.2</v>
      </c>
      <c r="O51" s="89">
        <f>SUM(L51:N51)</f>
        <v>0.2</v>
      </c>
      <c r="P51" s="92">
        <f>'Rider Rates'!D122</f>
        <v>45958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c r="H52" s="100"/>
      <c r="I52" s="100"/>
      <c r="J52" s="115">
        <f>SUM(G52:H52)</f>
        <v>0</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6.37</v>
      </c>
      <c r="O58" s="105">
        <f>SUM(O32:O57)</f>
        <v>6.37</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16.37</v>
      </c>
      <c r="O60" s="140">
        <f>O28+O58</f>
        <v>16.37</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16.37</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1"/>
    </row>
    <row r="80" spans="1:23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row r="89" spans="1:1" x14ac:dyDescent="0.2">
      <c r="A89" s="431"/>
    </row>
    <row r="90" spans="1:1" x14ac:dyDescent="0.2">
      <c r="A90" s="431"/>
    </row>
    <row r="91" spans="1:1" x14ac:dyDescent="0.2">
      <c r="A91" s="431"/>
    </row>
    <row r="92" spans="1:1" x14ac:dyDescent="0.2">
      <c r="A92" s="431"/>
    </row>
    <row r="93" spans="1:1" x14ac:dyDescent="0.2">
      <c r="A93" s="431"/>
    </row>
  </sheetData>
  <sheetProtection algorithmName="SHA-512" hashValue="CyT1a2Vr8CywMZQwlyfDjUdUcOqZn4P2S+kZKkX+otiq23kxSrGwANK7prmvSdJIGWatoZRC/zQ4ayHCk0XPPA==" saltValue="OBaLzDOvNhvtItZ2a84Pxw=="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530"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22531"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22532" r:id="rId7" name="Button 4">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39217-A3F1-4EA9-8251-E8495FAEB242}">
  <dimension ref="A1:IB62"/>
  <sheetViews>
    <sheetView showGridLines="0"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48" t="s">
        <v>50</v>
      </c>
      <c r="B1" s="448"/>
      <c r="C1" s="448"/>
      <c r="D1" s="448"/>
      <c r="E1" s="448"/>
      <c r="F1" s="448"/>
      <c r="G1" s="448"/>
      <c r="H1" s="448"/>
      <c r="I1" s="448"/>
      <c r="J1" s="448"/>
      <c r="K1" s="448"/>
      <c r="L1" s="448"/>
      <c r="M1" s="448"/>
      <c r="N1" s="448"/>
      <c r="O1" s="448"/>
      <c r="P1" s="448"/>
      <c r="Q1" s="156"/>
    </row>
    <row r="2" spans="1:30" ht="20.25" x14ac:dyDescent="0.3">
      <c r="A2" s="449" t="s">
        <v>221</v>
      </c>
      <c r="B2" s="449"/>
      <c r="C2" s="449"/>
      <c r="D2" s="449"/>
      <c r="E2" s="449"/>
      <c r="F2" s="449"/>
      <c r="G2" s="449"/>
      <c r="H2" s="449"/>
      <c r="I2" s="449"/>
      <c r="J2" s="449"/>
      <c r="K2" s="449"/>
      <c r="L2" s="449"/>
      <c r="M2" s="449"/>
      <c r="N2" s="449"/>
      <c r="O2" s="449"/>
      <c r="P2" s="449"/>
      <c r="Q2" s="52"/>
    </row>
    <row r="3" spans="1:30" ht="18" x14ac:dyDescent="0.25">
      <c r="A3" s="434" t="s">
        <v>11</v>
      </c>
      <c r="B3" s="434"/>
      <c r="C3" s="434"/>
      <c r="D3" s="434"/>
      <c r="E3" s="434"/>
      <c r="F3" s="434"/>
      <c r="G3" s="434"/>
      <c r="H3" s="434"/>
      <c r="I3" s="434"/>
      <c r="J3" s="434"/>
      <c r="K3" s="434"/>
      <c r="L3" s="434"/>
      <c r="M3" s="434"/>
      <c r="N3" s="434"/>
      <c r="O3" s="434"/>
      <c r="P3" s="434"/>
      <c r="Q3" s="53"/>
    </row>
    <row r="4" spans="1:30" ht="15.75" x14ac:dyDescent="0.25">
      <c r="A4" s="434"/>
      <c r="B4" s="434"/>
      <c r="C4" s="434"/>
      <c r="D4" s="434"/>
      <c r="E4" s="434"/>
      <c r="F4" s="434"/>
      <c r="G4" s="434"/>
      <c r="H4" s="434"/>
      <c r="I4" s="434"/>
      <c r="J4" s="434"/>
      <c r="K4" s="434"/>
      <c r="L4" s="434"/>
      <c r="M4" s="434"/>
      <c r="N4" s="434"/>
      <c r="O4" s="434"/>
      <c r="P4" s="434"/>
      <c r="Q4" s="54"/>
    </row>
    <row r="5" spans="1:30" x14ac:dyDescent="0.2">
      <c r="A5" s="56">
        <f ca="1">TODAY()</f>
        <v>46051</v>
      </c>
      <c r="B5" s="435" t="s">
        <v>222</v>
      </c>
      <c r="C5" s="435"/>
      <c r="D5" s="435"/>
      <c r="E5" s="435"/>
      <c r="F5" s="435"/>
      <c r="G5" s="435"/>
      <c r="H5" s="435"/>
      <c r="I5" s="435"/>
      <c r="J5" s="435"/>
      <c r="K5" s="435"/>
      <c r="L5" s="435"/>
      <c r="M5" s="435"/>
      <c r="N5" s="435"/>
      <c r="O5" s="435"/>
    </row>
    <row r="6" spans="1:30" x14ac:dyDescent="0.2">
      <c r="A6" s="436" t="s">
        <v>2</v>
      </c>
      <c r="B6" s="436"/>
      <c r="C6" s="436"/>
      <c r="D6" s="436"/>
      <c r="E6" s="436"/>
      <c r="F6" s="436"/>
      <c r="G6" s="436"/>
      <c r="H6" s="436"/>
      <c r="I6" s="436"/>
      <c r="J6" s="436"/>
      <c r="K6" s="436"/>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2</v>
      </c>
      <c r="C10" s="63" t="str">
        <f>LOOKUP(B10,S11:AD11,S12:AD12)</f>
        <v>February</v>
      </c>
      <c r="D10" s="64">
        <f>'Customer Info'!C9</f>
        <v>2026</v>
      </c>
    </row>
    <row r="11" spans="1:30" x14ac:dyDescent="0.2">
      <c r="A11" s="443"/>
      <c r="B11" s="443"/>
      <c r="C11" s="443"/>
      <c r="D11" s="443"/>
      <c r="E11" s="443"/>
      <c r="F11" s="443"/>
      <c r="G11" s="443"/>
      <c r="H11" s="443"/>
      <c r="I11" s="443"/>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
      <c r="A16" s="158"/>
      <c r="B16" s="158"/>
      <c r="C16" s="160"/>
      <c r="D16" s="160"/>
      <c r="E16" s="160"/>
      <c r="F16" s="160"/>
      <c r="G16" s="57"/>
      <c r="H16" s="158"/>
      <c r="I16" s="158"/>
      <c r="R16" t="s">
        <v>124</v>
      </c>
      <c r="S16" s="161">
        <f>'Rider Rates'!$C$29</f>
        <v>3.18762E-2</v>
      </c>
      <c r="T16" s="161">
        <f>'Rider Rates'!$C$29</f>
        <v>3.18762E-2</v>
      </c>
      <c r="U16" s="161">
        <f>'Rider Rates'!$C$29</f>
        <v>3.18762E-2</v>
      </c>
      <c r="V16" s="161">
        <f>'Rider Rates'!$C$29</f>
        <v>3.18762E-2</v>
      </c>
      <c r="W16" s="161">
        <f>'Rider Rates'!$C$29</f>
        <v>3.18762E-2</v>
      </c>
      <c r="X16" s="161">
        <f>'Rider Rates'!$B$29</f>
        <v>3.18762E-2</v>
      </c>
      <c r="Y16" s="161">
        <f>'Rider Rates'!$B$29</f>
        <v>3.18762E-2</v>
      </c>
      <c r="Z16" s="161">
        <f>'Rider Rates'!$B$29</f>
        <v>3.18762E-2</v>
      </c>
      <c r="AA16" s="161">
        <f>'Rider Rates'!$B$29</f>
        <v>3.18762E-2</v>
      </c>
      <c r="AB16" s="161">
        <f>'Rider Rates'!$C$29</f>
        <v>3.18762E-2</v>
      </c>
      <c r="AC16" s="161">
        <f>'Rider Rates'!$C$29</f>
        <v>3.18762E-2</v>
      </c>
      <c r="AD16" s="161">
        <f>'Rider Rates'!$C$29</f>
        <v>3.18762E-2</v>
      </c>
    </row>
    <row r="17" spans="1:221" x14ac:dyDescent="0.2">
      <c r="A17" s="162" t="s">
        <v>125</v>
      </c>
      <c r="B17" s="163"/>
      <c r="C17" s="163"/>
      <c r="D17" s="163"/>
      <c r="E17" s="163"/>
      <c r="F17" s="163"/>
      <c r="G17" s="444" t="s">
        <v>71</v>
      </c>
      <c r="H17" s="445"/>
      <c r="I17" s="445"/>
      <c r="J17" s="446"/>
      <c r="K17" s="163"/>
      <c r="L17" s="447" t="s">
        <v>72</v>
      </c>
      <c r="M17" s="447"/>
      <c r="N17" s="447"/>
      <c r="O17" s="447"/>
      <c r="R17" t="s">
        <v>126</v>
      </c>
      <c r="S17" s="161">
        <f>'Rider Rates'!$C$30</f>
        <v>1.72503E-2</v>
      </c>
      <c r="T17" s="161">
        <f>'Rider Rates'!$C$30</f>
        <v>1.72503E-2</v>
      </c>
      <c r="U17" s="161">
        <f>'Rider Rates'!$C$30</f>
        <v>1.72503E-2</v>
      </c>
      <c r="V17" s="161">
        <f>'Rider Rates'!$C$30</f>
        <v>1.72503E-2</v>
      </c>
      <c r="W17" s="161">
        <f>'Rider Rates'!$C$30</f>
        <v>1.72503E-2</v>
      </c>
      <c r="X17" s="161">
        <f>'Rider Rates'!$B$30</f>
        <v>3.0280600000000001E-2</v>
      </c>
      <c r="Y17" s="161">
        <f>'Rider Rates'!$B$30</f>
        <v>3.0280600000000001E-2</v>
      </c>
      <c r="Z17" s="161">
        <f>'Rider Rates'!$B$30</f>
        <v>3.0280600000000001E-2</v>
      </c>
      <c r="AA17" s="161">
        <f>'Rider Rates'!$B$30</f>
        <v>3.0280600000000001E-2</v>
      </c>
      <c r="AB17" s="161">
        <f>'Rider Rates'!$C$30</f>
        <v>1.72503E-2</v>
      </c>
      <c r="AC17" s="161">
        <f>'Rider Rates'!$C$30</f>
        <v>1.72503E-2</v>
      </c>
      <c r="AD17" s="161">
        <f>'Rider Rates'!$C$30</f>
        <v>1.72503E-2</v>
      </c>
    </row>
    <row r="18" spans="1:221" x14ac:dyDescent="0.2">
      <c r="G18" s="164" t="s">
        <v>73</v>
      </c>
      <c r="H18" s="164" t="s">
        <v>74</v>
      </c>
      <c r="I18" s="164" t="s">
        <v>75</v>
      </c>
      <c r="J18" s="118" t="s">
        <v>76</v>
      </c>
      <c r="L18" s="165" t="s">
        <v>73</v>
      </c>
      <c r="M18" s="165" t="s">
        <v>74</v>
      </c>
      <c r="N18" s="165" t="s">
        <v>75</v>
      </c>
      <c r="O18" s="165" t="s">
        <v>76</v>
      </c>
      <c r="P18" s="166" t="s">
        <v>77</v>
      </c>
      <c r="R18" t="s">
        <v>127</v>
      </c>
      <c r="S18" s="161">
        <f>'Rider Rates'!$C$31</f>
        <v>2.0174299999999999E-2</v>
      </c>
      <c r="T18" s="161">
        <f>'Rider Rates'!$C$31</f>
        <v>2.0174299999999999E-2</v>
      </c>
      <c r="U18" s="161">
        <f>'Rider Rates'!$C$31</f>
        <v>2.0174299999999999E-2</v>
      </c>
      <c r="V18" s="161">
        <f>'Rider Rates'!$C$31</f>
        <v>2.0174299999999999E-2</v>
      </c>
      <c r="W18" s="161">
        <f>'Rider Rates'!$C$31</f>
        <v>2.0174299999999999E-2</v>
      </c>
      <c r="X18" s="161">
        <f>'Rider Rates'!$B$31</f>
        <v>2.8333000000000001E-2</v>
      </c>
      <c r="Y18" s="161">
        <f>'Rider Rates'!$B$31</f>
        <v>2.8333000000000001E-2</v>
      </c>
      <c r="Z18" s="161">
        <f>'Rider Rates'!$B$31</f>
        <v>2.8333000000000001E-2</v>
      </c>
      <c r="AA18" s="161">
        <f>'Rider Rates'!$B$31</f>
        <v>2.8333000000000001E-2</v>
      </c>
      <c r="AB18" s="161">
        <f>'Rider Rates'!$C$31</f>
        <v>2.0174299999999999E-2</v>
      </c>
      <c r="AC18" s="161">
        <f>'Rider Rates'!$C$31</f>
        <v>2.0174299999999999E-2</v>
      </c>
      <c r="AD18" s="161">
        <f>'Rider Rates'!$C$31</f>
        <v>2.0174299999999999E-2</v>
      </c>
    </row>
    <row r="19" spans="1:221" x14ac:dyDescent="0.2">
      <c r="A19" t="s">
        <v>78</v>
      </c>
      <c r="G19" s="167"/>
      <c r="H19" s="167"/>
      <c r="I19" s="168">
        <v>10</v>
      </c>
      <c r="J19" s="168">
        <f>SUM(G19:I19)</f>
        <v>10</v>
      </c>
      <c r="L19" s="168"/>
      <c r="M19" s="168"/>
      <c r="N19" s="168">
        <f>I19</f>
        <v>10</v>
      </c>
      <c r="O19" s="168">
        <f>+SUM(L19:N19)</f>
        <v>10</v>
      </c>
      <c r="P19" s="92">
        <v>44531</v>
      </c>
      <c r="R19" s="44" t="s">
        <v>128</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IF($C$14&lt;0,0,IF($C$14&gt;833000,833000,$C$14))</f>
        <v>0</v>
      </c>
      <c r="E25" s="97" t="s">
        <v>19</v>
      </c>
      <c r="F25" s="84" t="s">
        <v>80</v>
      </c>
      <c r="G25" s="100"/>
      <c r="H25" s="100"/>
      <c r="I25" s="100">
        <f>'Rider Rates'!$B$4</f>
        <v>5.5215000000000004E-3</v>
      </c>
      <c r="J25" s="175">
        <f t="shared" ref="J25:J41" si="0">SUM(G25:I25)</f>
        <v>5.5215000000000004E-3</v>
      </c>
      <c r="K25" s="94" t="s">
        <v>85</v>
      </c>
      <c r="L25" s="89"/>
      <c r="M25" s="89"/>
      <c r="N25" s="89">
        <f t="shared" ref="N25:N30" si="1">ROUND(D25*I25,2)</f>
        <v>0</v>
      </c>
      <c r="O25" s="89">
        <f t="shared" ref="O25:O34" si="2">SUM(L25:N25)</f>
        <v>0</v>
      </c>
      <c r="P25" s="92">
        <f>'Rider Rates'!$D$4</f>
        <v>46022</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46022</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220</v>
      </c>
      <c r="B30" s="72"/>
      <c r="C30" s="72"/>
      <c r="D30" s="113">
        <f>$N$21</f>
        <v>10</v>
      </c>
      <c r="E30" s="97" t="s">
        <v>92</v>
      </c>
      <c r="F30" s="84" t="s">
        <v>80</v>
      </c>
      <c r="G30" s="100"/>
      <c r="H30" s="100"/>
      <c r="I30" s="114">
        <f>'Rider Rates'!$B$12</f>
        <v>0</v>
      </c>
      <c r="J30" s="114">
        <f t="shared" si="0"/>
        <v>0</v>
      </c>
      <c r="K30" s="94"/>
      <c r="L30" s="89"/>
      <c r="M30" s="89"/>
      <c r="N30" s="89">
        <f t="shared" si="1"/>
        <v>0</v>
      </c>
      <c r="O30" s="89">
        <f t="shared" si="2"/>
        <v>0</v>
      </c>
      <c r="P30" s="92">
        <f>'Rider Rates'!$D$12</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90</v>
      </c>
      <c r="B31" s="72"/>
      <c r="C31" s="72"/>
      <c r="D31" s="111">
        <f>IF($C$14&lt;0,0,$C$14)</f>
        <v>0</v>
      </c>
      <c r="E31" s="97" t="s">
        <v>19</v>
      </c>
      <c r="F31" s="84" t="s">
        <v>80</v>
      </c>
      <c r="G31" s="100"/>
      <c r="H31" s="100"/>
      <c r="I31" s="100">
        <f>'Rider Rates'!B15</f>
        <v>0</v>
      </c>
      <c r="J31" s="100">
        <f>SUM(G31:I31)</f>
        <v>0</v>
      </c>
      <c r="K31" s="94" t="s">
        <v>85</v>
      </c>
      <c r="L31" s="89"/>
      <c r="M31" s="89"/>
      <c r="N31" s="89">
        <f>ROUND(D31*I31,2)</f>
        <v>0</v>
      </c>
      <c r="O31" s="89">
        <f t="shared" si="2"/>
        <v>0</v>
      </c>
      <c r="P31" s="92">
        <f>'Rider Rates'!$D$15</f>
        <v>45716</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91</v>
      </c>
      <c r="B32" s="72"/>
      <c r="C32" s="72"/>
      <c r="D32" s="113">
        <f>$N$21</f>
        <v>10</v>
      </c>
      <c r="E32" s="97" t="s">
        <v>92</v>
      </c>
      <c r="F32" s="84" t="s">
        <v>80</v>
      </c>
      <c r="G32" s="100"/>
      <c r="H32" s="100"/>
      <c r="I32" s="114">
        <f>'Rider Rates'!$B$18</f>
        <v>0</v>
      </c>
      <c r="J32" s="114">
        <f>SUM(G32:I32)</f>
        <v>0</v>
      </c>
      <c r="K32" s="94"/>
      <c r="L32" s="89"/>
      <c r="M32" s="89"/>
      <c r="N32" s="89">
        <f>ROUND($D$32*'Rider Rates'!$B$18,2)+ROUND($D$32*'Rider Rates'!$E$18,2)</f>
        <v>0</v>
      </c>
      <c r="O32" s="89">
        <f t="shared" si="2"/>
        <v>0</v>
      </c>
      <c r="P32" s="92">
        <f>MAX('Rider Rates'!$D$18,'Rider Rates'!$F$18)</f>
        <v>44531</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96</v>
      </c>
      <c r="B33" s="72"/>
      <c r="C33" s="72"/>
      <c r="D33" s="111"/>
      <c r="E33" s="97" t="s">
        <v>55</v>
      </c>
      <c r="F33" s="84"/>
      <c r="G33" s="100"/>
      <c r="H33" s="100"/>
      <c r="I33" s="100">
        <f>'Rider Rates'!D52</f>
        <v>0</v>
      </c>
      <c r="J33" s="100">
        <f>SUM(G33:I33)</f>
        <v>0</v>
      </c>
      <c r="K33" s="94" t="s">
        <v>85</v>
      </c>
      <c r="L33" s="89"/>
      <c r="M33" s="89"/>
      <c r="N33" s="89">
        <f>J33</f>
        <v>0</v>
      </c>
      <c r="O33" s="89">
        <f>SUM(L33:N33)</f>
        <v>0</v>
      </c>
      <c r="P33" s="92">
        <f>'Rider Rates'!E52</f>
        <v>45883</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97</v>
      </c>
      <c r="B34" s="72"/>
      <c r="C34" s="72"/>
      <c r="D34" s="111">
        <f>IF($C$14&lt;0,0,$C$14)</f>
        <v>0</v>
      </c>
      <c r="E34" s="97" t="s">
        <v>19</v>
      </c>
      <c r="F34" s="84" t="s">
        <v>80</v>
      </c>
      <c r="G34" s="100"/>
      <c r="H34" s="100">
        <f>'Rider Rates'!$B$57</f>
        <v>3.55042E-2</v>
      </c>
      <c r="I34" s="100"/>
      <c r="J34" s="100">
        <f>SUM(G34:I34)</f>
        <v>3.55042E-2</v>
      </c>
      <c r="K34" s="94" t="s">
        <v>85</v>
      </c>
      <c r="L34" s="89"/>
      <c r="M34" s="89">
        <f>ROUND(D34*H34,2)</f>
        <v>0</v>
      </c>
      <c r="N34" s="116"/>
      <c r="O34" s="89">
        <f t="shared" si="2"/>
        <v>0</v>
      </c>
      <c r="P34" s="92">
        <f>'Rider Rates'!$D$57</f>
        <v>45929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98</v>
      </c>
      <c r="B35" s="72"/>
      <c r="C35" s="72"/>
      <c r="D35" s="111">
        <f>IF($C$14&lt;0,0,$C$14)</f>
        <v>0</v>
      </c>
      <c r="E35" s="97" t="s">
        <v>19</v>
      </c>
      <c r="F35" s="84" t="s">
        <v>80</v>
      </c>
      <c r="G35" s="100"/>
      <c r="H35" s="100"/>
      <c r="I35" s="100">
        <f>'Rider Rates'!$B$68</f>
        <v>7.3870000000000001E-4</v>
      </c>
      <c r="J35" s="100">
        <f t="shared" ref="J35" si="3">SUM(G35:I35)</f>
        <v>7.3870000000000001E-4</v>
      </c>
      <c r="K35" s="94" t="s">
        <v>85</v>
      </c>
      <c r="L35" s="89"/>
      <c r="M35" s="89"/>
      <c r="N35" s="89">
        <f>ROUND($D$35*'Rider Rates'!$B$68,2)</f>
        <v>0</v>
      </c>
      <c r="O35" s="89">
        <f t="shared" ref="O35:O45" si="4">SUM(L35:N35)</f>
        <v>0</v>
      </c>
      <c r="P35" s="92">
        <f>'Rider Rates'!$D$68</f>
        <v>45747</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99</v>
      </c>
      <c r="B36" s="72"/>
      <c r="C36" s="72"/>
      <c r="D36" s="111">
        <f>IF('Customer Info'!C35=TRUE,0,IF($C$14&lt;0,0,$C$14))</f>
        <v>0</v>
      </c>
      <c r="E36" s="97" t="s">
        <v>19</v>
      </c>
      <c r="F36" s="84" t="s">
        <v>80</v>
      </c>
      <c r="G36" s="100"/>
      <c r="H36" s="100"/>
      <c r="I36" s="100">
        <f>'Rider Rates'!$B$71+'Rider Rates'!$C$71</f>
        <v>0</v>
      </c>
      <c r="J36" s="100">
        <f t="shared" si="0"/>
        <v>0</v>
      </c>
      <c r="K36" s="94" t="s">
        <v>85</v>
      </c>
      <c r="L36" s="89"/>
      <c r="M36" s="89"/>
      <c r="N36" s="89">
        <f>ROUND($D$36*'Rider Rates'!$B$71,2)+ROUND($D$36*'Rider Rates'!$C$71,2)</f>
        <v>0</v>
      </c>
      <c r="O36" s="89">
        <f t="shared" si="4"/>
        <v>0</v>
      </c>
      <c r="P36" s="92">
        <f>'Rider Rates'!$D$71</f>
        <v>44531</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100</v>
      </c>
      <c r="B37" s="72"/>
      <c r="C37" s="72"/>
      <c r="D37" s="113">
        <f>$N$21</f>
        <v>10</v>
      </c>
      <c r="E37" s="97" t="s">
        <v>92</v>
      </c>
      <c r="F37" s="84" t="s">
        <v>80</v>
      </c>
      <c r="G37" s="117"/>
      <c r="H37" s="118"/>
      <c r="I37" s="119">
        <f>'Rider Rates'!$B$87</f>
        <v>3.5344300000000002E-2</v>
      </c>
      <c r="J37" s="119">
        <f t="shared" si="0"/>
        <v>3.5344300000000002E-2</v>
      </c>
      <c r="K37" s="94"/>
      <c r="L37" s="89"/>
      <c r="M37" s="89"/>
      <c r="N37" s="89">
        <f>ROUND(D37*I37,2)</f>
        <v>0.35</v>
      </c>
      <c r="O37" s="89">
        <f t="shared" si="4"/>
        <v>0.35</v>
      </c>
      <c r="P37" s="92">
        <f>'Rider Rates'!$D$87</f>
        <v>45929</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101</v>
      </c>
      <c r="B38" s="72"/>
      <c r="C38" s="72"/>
      <c r="D38" s="113">
        <f>$N$21</f>
        <v>10</v>
      </c>
      <c r="E38" s="97" t="s">
        <v>92</v>
      </c>
      <c r="F38" s="84" t="s">
        <v>80</v>
      </c>
      <c r="G38" s="120"/>
      <c r="H38" s="85"/>
      <c r="I38" s="119">
        <f>'Rider Rates'!$B$89</f>
        <v>7.8822199999999995E-2</v>
      </c>
      <c r="J38" s="119">
        <f t="shared" si="0"/>
        <v>7.8822199999999995E-2</v>
      </c>
      <c r="K38" s="94"/>
      <c r="L38" s="89"/>
      <c r="M38" s="89"/>
      <c r="N38" s="89">
        <f>ROUND(D38*I38,2)</f>
        <v>0.79</v>
      </c>
      <c r="O38" s="89">
        <f t="shared" si="4"/>
        <v>0.79</v>
      </c>
      <c r="P38" s="92">
        <f>'Rider Rates'!$D$89</f>
        <v>45987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102</v>
      </c>
      <c r="B39" s="72"/>
      <c r="C39" s="72"/>
      <c r="D39" s="113"/>
      <c r="E39" s="97" t="s">
        <v>55</v>
      </c>
      <c r="F39" s="84"/>
      <c r="G39" s="120"/>
      <c r="H39" s="85"/>
      <c r="I39" s="121">
        <f>'Rider Rates'!$B$92</f>
        <v>2.62</v>
      </c>
      <c r="J39" s="121">
        <f t="shared" si="0"/>
        <v>2.62</v>
      </c>
      <c r="K39" s="94"/>
      <c r="L39" s="89"/>
      <c r="M39" s="89"/>
      <c r="N39" s="89">
        <f>I39</f>
        <v>2.62</v>
      </c>
      <c r="O39" s="89">
        <f t="shared" si="4"/>
        <v>2.62</v>
      </c>
      <c r="P39" s="92">
        <f>'Rider Rates'!$D$92</f>
        <v>46022</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104</v>
      </c>
      <c r="B40" s="72"/>
      <c r="C40" s="72"/>
      <c r="D40" s="113">
        <f>$N$21</f>
        <v>10</v>
      </c>
      <c r="E40" s="97" t="s">
        <v>92</v>
      </c>
      <c r="F40" s="84" t="s">
        <v>80</v>
      </c>
      <c r="G40" s="120"/>
      <c r="H40" s="85"/>
      <c r="I40" s="119">
        <f>'Rider Rates'!$B$107</f>
        <v>0.24079249999999999</v>
      </c>
      <c r="J40" s="119">
        <f t="shared" si="0"/>
        <v>0.24079249999999999</v>
      </c>
      <c r="K40" s="94"/>
      <c r="L40" s="89"/>
      <c r="M40" s="89"/>
      <c r="N40" s="89">
        <f>ROUND(D40*I40,2)</f>
        <v>2.41</v>
      </c>
      <c r="O40" s="89">
        <f t="shared" si="4"/>
        <v>2.41</v>
      </c>
      <c r="P40" s="92">
        <f>'Rider Rates'!$D$107</f>
        <v>45987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105</v>
      </c>
      <c r="B41" s="72"/>
      <c r="C41" s="72"/>
      <c r="D41" s="113"/>
      <c r="E41" s="97" t="s">
        <v>55</v>
      </c>
      <c r="F41" s="84"/>
      <c r="G41" s="120"/>
      <c r="H41" s="85"/>
      <c r="I41" s="123">
        <f>'Rider Rates'!B122</f>
        <v>0.2</v>
      </c>
      <c r="J41" s="121">
        <f t="shared" si="0"/>
        <v>0.2</v>
      </c>
      <c r="K41" s="94"/>
      <c r="L41" s="89"/>
      <c r="M41" s="89"/>
      <c r="N41" s="125">
        <f>I41</f>
        <v>0.2</v>
      </c>
      <c r="O41" s="89">
        <f t="shared" si="4"/>
        <v>0.2</v>
      </c>
      <c r="P41" s="92">
        <f>'Rider Rates'!D122</f>
        <v>45958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107</v>
      </c>
      <c r="B42" s="72"/>
      <c r="C42" s="72"/>
      <c r="D42" s="111">
        <f>IF($C$14&lt;1,0,$C$14)</f>
        <v>0</v>
      </c>
      <c r="E42" s="97" t="s">
        <v>19</v>
      </c>
      <c r="F42" s="126" t="s">
        <v>80</v>
      </c>
      <c r="G42" s="100"/>
      <c r="H42" s="100"/>
      <c r="I42" s="115">
        <f>'Rider Rates'!$B$118</f>
        <v>0</v>
      </c>
      <c r="J42" s="115">
        <f>SUM(G42:I42)</f>
        <v>0</v>
      </c>
      <c r="K42" s="94" t="s">
        <v>85</v>
      </c>
      <c r="L42" s="89"/>
      <c r="M42" s="89"/>
      <c r="N42" s="89">
        <f>D42*J42</f>
        <v>0</v>
      </c>
      <c r="O42" s="89">
        <f t="shared" si="4"/>
        <v>0</v>
      </c>
      <c r="P42" s="92">
        <f>'Rider Rates'!D118</f>
        <v>45657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2" t="s">
        <v>108</v>
      </c>
      <c r="B43" s="72"/>
      <c r="C43" s="72"/>
      <c r="D43" s="111"/>
      <c r="E43" s="97" t="s">
        <v>55</v>
      </c>
      <c r="F43" s="84" t="s">
        <v>80</v>
      </c>
      <c r="G43" s="127"/>
      <c r="H43" s="127"/>
      <c r="I43" s="127">
        <f>'Rider Rates'!$B$126</f>
        <v>0</v>
      </c>
      <c r="J43" s="127">
        <f>SUM(G43:I43)</f>
        <v>0</v>
      </c>
      <c r="K43" s="94"/>
      <c r="L43" s="128"/>
      <c r="M43" s="128"/>
      <c r="N43" s="128">
        <f>J43</f>
        <v>0</v>
      </c>
      <c r="O43" s="128">
        <f t="shared" si="4"/>
        <v>0</v>
      </c>
      <c r="P43" s="129">
        <f>'Rider Rates'!$E$126</f>
        <v>45883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2" t="s">
        <v>109</v>
      </c>
      <c r="B44" s="72"/>
      <c r="C44" s="72"/>
      <c r="D44" s="111">
        <f>C14</f>
        <v>0</v>
      </c>
      <c r="E44" s="97" t="s">
        <v>19</v>
      </c>
      <c r="F44" s="126" t="s">
        <v>80</v>
      </c>
      <c r="G44" s="100"/>
      <c r="H44" s="100"/>
      <c r="I44" s="100">
        <f>'Rider Rates'!$B$131</f>
        <v>0</v>
      </c>
      <c r="J44" s="115">
        <f>SUM(G44:I44)</f>
        <v>0</v>
      </c>
      <c r="K44" s="94" t="s">
        <v>85</v>
      </c>
      <c r="L44" s="89"/>
      <c r="M44" s="89"/>
      <c r="N44" s="89">
        <f>D44*J44</f>
        <v>0</v>
      </c>
      <c r="O44" s="89">
        <f t="shared" si="4"/>
        <v>0</v>
      </c>
      <c r="P44" s="92">
        <f>'Rider Rates'!D131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110</v>
      </c>
      <c r="B45" s="72"/>
      <c r="C45" s="72"/>
      <c r="D45" s="111"/>
      <c r="E45" s="97" t="s">
        <v>55</v>
      </c>
      <c r="F45" s="84" t="s">
        <v>80</v>
      </c>
      <c r="G45" s="127"/>
      <c r="H45" s="127"/>
      <c r="I45" s="127">
        <f>'Rider Rates'!$B$138</f>
        <v>0</v>
      </c>
      <c r="J45" s="127">
        <f>SUM(G45:I45)</f>
        <v>0</v>
      </c>
      <c r="K45" s="94"/>
      <c r="L45" s="128"/>
      <c r="M45" s="128"/>
      <c r="N45" s="128">
        <f>J45</f>
        <v>0</v>
      </c>
      <c r="O45" s="128">
        <f t="shared" si="4"/>
        <v>0</v>
      </c>
      <c r="P45" s="129">
        <f>'Rider Rates'!$D$134</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2" t="s">
        <v>111</v>
      </c>
      <c r="B46" s="72"/>
      <c r="C46" s="72"/>
      <c r="D46" s="111"/>
      <c r="E46" s="97"/>
      <c r="F46" s="84"/>
      <c r="G46" s="127"/>
      <c r="H46" s="127"/>
      <c r="I46" s="127"/>
      <c r="J46" s="127"/>
      <c r="K46" s="94"/>
      <c r="L46" s="128"/>
      <c r="M46" s="128"/>
      <c r="N46" s="128"/>
      <c r="O46" s="128"/>
      <c r="P46" s="129"/>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130" t="s">
        <v>112</v>
      </c>
      <c r="B47" s="69"/>
      <c r="C47" s="69"/>
      <c r="D47" s="131"/>
      <c r="E47" s="132"/>
      <c r="F47" s="133"/>
      <c r="G47" s="133"/>
      <c r="H47" s="133"/>
      <c r="I47" s="133"/>
      <c r="J47" s="133"/>
      <c r="K47" s="134"/>
      <c r="L47" s="105">
        <f>SUM(L25:L46)</f>
        <v>0</v>
      </c>
      <c r="M47" s="105">
        <f>SUM(M25:M46)</f>
        <v>0</v>
      </c>
      <c r="N47" s="105">
        <f>SUM(N25:N46)</f>
        <v>6.37</v>
      </c>
      <c r="O47" s="105">
        <f>SUM(O25:O46)</f>
        <v>6.37</v>
      </c>
      <c r="P47" s="135"/>
      <c r="Q47" s="84"/>
      <c r="R47" s="102"/>
      <c r="S47" s="102"/>
      <c r="T47" s="136"/>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c r="B48" s="72"/>
      <c r="C48" s="72"/>
      <c r="D48" s="111"/>
      <c r="E48" s="97"/>
      <c r="F48" s="84"/>
      <c r="G48" s="84"/>
      <c r="H48" s="84"/>
      <c r="I48" s="84"/>
      <c r="J48" s="101"/>
      <c r="K48" s="94"/>
      <c r="L48" s="84"/>
      <c r="M48" s="84"/>
      <c r="N48" s="84"/>
      <c r="O48" s="84"/>
      <c r="P48" s="137"/>
      <c r="Q48" s="84"/>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106"/>
      <c r="B49" s="106"/>
      <c r="C49" s="106"/>
      <c r="D49" s="106"/>
      <c r="E49" s="106"/>
      <c r="F49" s="106"/>
      <c r="G49" s="106"/>
      <c r="H49" s="106"/>
      <c r="I49" s="106"/>
      <c r="J49" s="106"/>
      <c r="K49" s="106"/>
      <c r="L49" s="139">
        <f>L21+L47</f>
        <v>0</v>
      </c>
      <c r="M49" s="139">
        <f>M21+M47</f>
        <v>0</v>
      </c>
      <c r="N49" s="139">
        <f>N21+N47</f>
        <v>16.37</v>
      </c>
      <c r="O49" s="140">
        <f>O21+O47</f>
        <v>16.37</v>
      </c>
      <c r="P49" s="140"/>
      <c r="Q49" s="84"/>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c r="B50" s="72"/>
      <c r="C50" s="72"/>
      <c r="D50" s="72"/>
      <c r="E50" s="72"/>
      <c r="F50" s="72"/>
      <c r="G50" s="72"/>
      <c r="H50" s="72"/>
      <c r="I50" s="72"/>
      <c r="J50" s="72"/>
      <c r="K50" s="72"/>
      <c r="L50" s="72"/>
      <c r="M50" s="72"/>
      <c r="N50" s="72"/>
      <c r="O50" s="72"/>
      <c r="P50" s="72"/>
      <c r="Q50" s="10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102" t="s">
        <v>114</v>
      </c>
      <c r="B51" s="72"/>
      <c r="C51" s="72"/>
      <c r="D51" s="72"/>
      <c r="E51" s="72"/>
      <c r="F51" s="72"/>
      <c r="G51" s="72"/>
      <c r="H51" s="72"/>
      <c r="I51" s="72"/>
      <c r="J51" s="72"/>
      <c r="K51" s="72"/>
      <c r="L51" s="72"/>
      <c r="M51" s="72"/>
      <c r="N51" s="72"/>
      <c r="O51" s="95">
        <f>IF($C$14&lt;=0,MIN(O19,O49), O19)</f>
        <v>10</v>
      </c>
      <c r="P51" s="72"/>
      <c r="Q51" s="10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c r="B52" s="102"/>
      <c r="C52" s="102"/>
      <c r="D52" s="102"/>
      <c r="E52" s="102"/>
      <c r="F52" s="102"/>
      <c r="G52" s="102"/>
      <c r="H52" s="10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69" t="s">
        <v>115</v>
      </c>
      <c r="B53" s="72"/>
      <c r="C53" s="72"/>
      <c r="D53" s="72"/>
      <c r="E53" s="72"/>
      <c r="F53" s="72"/>
      <c r="G53" s="72"/>
      <c r="H53" s="72"/>
      <c r="I53" s="72"/>
      <c r="J53" s="72"/>
      <c r="K53" s="72"/>
      <c r="L53" s="72"/>
      <c r="M53" s="72"/>
      <c r="N53" s="72"/>
      <c r="O53" s="141">
        <f>IF($C$14&lt;0,O49,IF(O49&gt;O51,O49,I48))</f>
        <v>16.37</v>
      </c>
      <c r="P53" s="84"/>
      <c r="Q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142"/>
      <c r="P54" s="84"/>
      <c r="Q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102"/>
      <c r="C55" s="102"/>
      <c r="D55" s="102"/>
      <c r="E55" s="102"/>
      <c r="F55" s="102"/>
      <c r="G55" s="102"/>
      <c r="H55" s="102"/>
      <c r="I55" s="102" t="s">
        <v>116</v>
      </c>
      <c r="J55" s="102"/>
      <c r="K55" s="102"/>
      <c r="L55" s="143"/>
      <c r="M55" s="143"/>
      <c r="N55" s="143"/>
      <c r="O55" s="143">
        <f>ROUND(IF($C$14&lt;1,0,O49/($C$14*100)*10000),2)</f>
        <v>0</v>
      </c>
      <c r="P55" s="144" t="s">
        <v>117</v>
      </c>
      <c r="Q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c r="HN55" s="72"/>
      <c r="HO55" s="72"/>
      <c r="HP55" s="72"/>
      <c r="HQ55" s="72"/>
      <c r="HR55" s="72"/>
      <c r="HS55" s="72"/>
      <c r="HT55" s="72"/>
      <c r="HU55" s="72"/>
      <c r="HV55" s="72"/>
      <c r="HW55" s="72"/>
      <c r="HX55" s="72"/>
      <c r="HY55" s="72"/>
      <c r="HZ55" s="72"/>
      <c r="IA55" s="72"/>
      <c r="IB55" s="72"/>
    </row>
    <row r="56" spans="1:236" x14ac:dyDescent="0.2">
      <c r="A56" s="72"/>
      <c r="B56" s="72"/>
      <c r="C56" s="72"/>
      <c r="D56" s="72"/>
      <c r="E56" s="72"/>
      <c r="F56" s="72"/>
      <c r="G56" s="72"/>
      <c r="H56" s="145"/>
      <c r="I56" s="146" t="s">
        <v>118</v>
      </c>
      <c r="J56" s="72"/>
      <c r="K56" s="72"/>
      <c r="L56" s="72"/>
      <c r="M56" s="72"/>
      <c r="N56" s="72"/>
      <c r="O56" s="147">
        <f>ROUND(IF($C$14&lt;1,0,(L49)/($C$14*100)*10000),2)</f>
        <v>0</v>
      </c>
      <c r="P56" s="59" t="s">
        <v>117</v>
      </c>
      <c r="Q56" s="72"/>
      <c r="AE56" s="72"/>
      <c r="AF56" s="72"/>
      <c r="AG56" s="72"/>
      <c r="AH56" s="72"/>
      <c r="AI56" s="72"/>
      <c r="AJ56" s="72"/>
      <c r="AK56" s="72"/>
      <c r="AL56" s="72"/>
      <c r="AM56" s="72"/>
      <c r="AN56" s="72"/>
      <c r="AO56" s="72"/>
      <c r="AP56" s="72"/>
      <c r="AQ56" s="72"/>
      <c r="AR56" s="72"/>
      <c r="AS56" s="72"/>
      <c r="AT56" s="72"/>
      <c r="HE56" s="72"/>
      <c r="HF56" s="72"/>
      <c r="HG56" s="72"/>
      <c r="HH56" s="72"/>
      <c r="HI56" s="72"/>
      <c r="HJ56" s="72"/>
      <c r="HK56" s="72"/>
      <c r="HL56" s="72"/>
      <c r="HM56" s="72"/>
      <c r="HN56" s="72"/>
    </row>
    <row r="57" spans="1:236" x14ac:dyDescent="0.2">
      <c r="A57" s="72"/>
    </row>
    <row r="58" spans="1:236" x14ac:dyDescent="0.2">
      <c r="A58" s="72"/>
    </row>
    <row r="59" spans="1:236" x14ac:dyDescent="0.2">
      <c r="A59" s="72"/>
    </row>
    <row r="60" spans="1:236" x14ac:dyDescent="0.2">
      <c r="A60" s="72"/>
    </row>
    <row r="61" spans="1:236" x14ac:dyDescent="0.2">
      <c r="A61" s="72"/>
    </row>
    <row r="62" spans="1:236" x14ac:dyDescent="0.2">
      <c r="A62" s="72"/>
    </row>
  </sheetData>
  <sheetProtection algorithmName="SHA-512" hashValue="vI6wSO3EsCgQNIkNmey/3hdWRVj/Sy6u06NaHVZMSkcfCzeJBbm3IpwzTsKmupImzk9kkw379pVZySXTlg+plQ==" saltValue="2dXPekWugA7yxPt6MLMy3A=="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D9BA5-D08A-4ADB-9FD1-21014DB0EE8D}">
  <dimension ref="A1:IB60"/>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48" t="s">
        <v>50</v>
      </c>
      <c r="B1" s="448"/>
      <c r="C1" s="448"/>
      <c r="D1" s="448"/>
      <c r="E1" s="448"/>
      <c r="F1" s="448"/>
      <c r="G1" s="448"/>
      <c r="H1" s="448"/>
      <c r="I1" s="448"/>
      <c r="J1" s="448"/>
      <c r="K1" s="448"/>
      <c r="L1" s="448"/>
      <c r="M1" s="448"/>
      <c r="N1" s="448"/>
      <c r="O1" s="448"/>
      <c r="P1" s="448"/>
    </row>
    <row r="2" spans="1:30" ht="20.25" x14ac:dyDescent="0.3">
      <c r="A2" s="432" t="s">
        <v>138</v>
      </c>
      <c r="B2" s="432"/>
      <c r="C2" s="432"/>
      <c r="D2" s="432"/>
      <c r="E2" s="432"/>
      <c r="F2" s="432"/>
      <c r="G2" s="432"/>
      <c r="H2" s="432"/>
      <c r="I2" s="432"/>
      <c r="J2" s="432"/>
      <c r="K2" s="432"/>
      <c r="L2" s="432"/>
      <c r="M2" s="432"/>
      <c r="N2" s="432"/>
      <c r="O2" s="432"/>
      <c r="P2" s="432"/>
    </row>
    <row r="3" spans="1:30" ht="18" x14ac:dyDescent="0.25">
      <c r="A3" s="449" t="s">
        <v>223</v>
      </c>
      <c r="B3" s="449"/>
      <c r="C3" s="449"/>
      <c r="D3" s="449"/>
      <c r="E3" s="449"/>
      <c r="F3" s="449"/>
      <c r="G3" s="449"/>
      <c r="H3" s="449"/>
      <c r="I3" s="449"/>
      <c r="J3" s="449"/>
      <c r="K3" s="449"/>
      <c r="L3" s="449"/>
      <c r="M3" s="449"/>
      <c r="N3" s="449"/>
      <c r="O3" s="449"/>
      <c r="P3" s="449"/>
    </row>
    <row r="4" spans="1:30"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30" ht="15" x14ac:dyDescent="0.2">
      <c r="A5" s="55"/>
      <c r="B5" s="55"/>
      <c r="C5" s="55"/>
      <c r="D5" s="55"/>
      <c r="E5" s="55"/>
      <c r="F5" s="55"/>
      <c r="G5" s="55"/>
      <c r="H5" s="55"/>
      <c r="I5" s="55"/>
      <c r="J5" s="55"/>
      <c r="K5" s="55"/>
    </row>
    <row r="6" spans="1:30" x14ac:dyDescent="0.2">
      <c r="A6" s="56">
        <f ca="1">TODAY()</f>
        <v>46051</v>
      </c>
      <c r="B6" s="76" t="s">
        <v>224</v>
      </c>
      <c r="C6" s="56"/>
      <c r="D6" s="56"/>
      <c r="E6" s="56"/>
      <c r="F6" s="56"/>
      <c r="G6" s="56"/>
      <c r="H6" s="56"/>
      <c r="I6" s="56"/>
    </row>
    <row r="7" spans="1:30" ht="26.25" x14ac:dyDescent="0.4">
      <c r="A7" s="450"/>
      <c r="B7" s="450"/>
      <c r="C7" s="450"/>
      <c r="D7" s="450"/>
      <c r="E7" s="450"/>
      <c r="F7" s="450"/>
      <c r="G7" s="450"/>
      <c r="H7" s="450"/>
      <c r="I7" s="450"/>
      <c r="J7" s="450"/>
      <c r="K7" s="450"/>
      <c r="L7" s="450"/>
      <c r="M7" s="450"/>
      <c r="N7" s="450"/>
      <c r="O7" s="450"/>
      <c r="P7" s="450"/>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2</v>
      </c>
      <c r="C11" s="63" t="str">
        <f>LOOKUP(B11,R11:AD11,R12:AD12)</f>
        <v>February</v>
      </c>
      <c r="D11" s="64">
        <f>'Customer Info'!C9</f>
        <v>2026</v>
      </c>
      <c r="S11">
        <v>1</v>
      </c>
      <c r="T11">
        <v>2</v>
      </c>
      <c r="U11">
        <v>3</v>
      </c>
      <c r="V11">
        <v>4</v>
      </c>
      <c r="W11">
        <v>5</v>
      </c>
      <c r="X11">
        <v>6</v>
      </c>
      <c r="Y11">
        <v>7</v>
      </c>
      <c r="Z11">
        <v>8</v>
      </c>
      <c r="AA11">
        <v>9</v>
      </c>
      <c r="AB11">
        <v>10</v>
      </c>
      <c r="AC11">
        <v>11</v>
      </c>
      <c r="AD11">
        <v>12</v>
      </c>
    </row>
    <row r="12" spans="1:30" x14ac:dyDescent="0.2">
      <c r="A12" s="443"/>
      <c r="B12" s="443"/>
      <c r="C12" s="443"/>
      <c r="D12" s="443"/>
      <c r="E12" s="443"/>
      <c r="F12" s="443"/>
      <c r="G12" s="443"/>
      <c r="H12" s="443"/>
      <c r="I12" s="443"/>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c r="B16" s="158"/>
      <c r="C16" s="159"/>
      <c r="D16" s="158"/>
      <c r="E16" s="158"/>
      <c r="F16" s="160"/>
      <c r="G16" s="57" t="s">
        <v>2</v>
      </c>
      <c r="H16" s="158"/>
    </row>
    <row r="17" spans="1:221" x14ac:dyDescent="0.2">
      <c r="A17" s="158"/>
      <c r="B17" s="158"/>
      <c r="C17" s="160"/>
      <c r="D17" s="160"/>
      <c r="E17" s="160"/>
      <c r="F17" s="160"/>
      <c r="G17" s="57" t="s">
        <v>2</v>
      </c>
      <c r="H17" s="158"/>
      <c r="I17" s="188" t="s">
        <v>2</v>
      </c>
    </row>
    <row r="19" spans="1:221" x14ac:dyDescent="0.2">
      <c r="A19" s="162" t="s">
        <v>70</v>
      </c>
      <c r="B19" s="163"/>
      <c r="C19" s="163"/>
      <c r="D19" s="163"/>
      <c r="E19" s="163"/>
      <c r="F19" s="163"/>
      <c r="G19" s="444" t="s">
        <v>71</v>
      </c>
      <c r="H19" s="445"/>
      <c r="I19" s="445"/>
      <c r="J19" s="446"/>
      <c r="K19" s="163"/>
      <c r="L19" s="447" t="s">
        <v>72</v>
      </c>
      <c r="M19" s="447"/>
      <c r="N19" s="447"/>
      <c r="O19" s="447"/>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t="s">
        <v>225</v>
      </c>
      <c r="D22" s="4">
        <f>MAX(MIN($C$15,1000),-1000)</f>
        <v>0</v>
      </c>
      <c r="E22" s="152" t="s">
        <v>19</v>
      </c>
      <c r="F22" s="1" t="s">
        <v>80</v>
      </c>
      <c r="G22" s="191"/>
      <c r="H22" s="191"/>
      <c r="I22" s="191">
        <v>2.05802E-2</v>
      </c>
      <c r="J22" s="191">
        <f>SUM(G22:I22)</f>
        <v>2.05802E-2</v>
      </c>
      <c r="K22" s="154" t="s">
        <v>85</v>
      </c>
      <c r="L22" s="189"/>
      <c r="M22" s="189"/>
      <c r="N22" s="189">
        <f>IF(C15&lt;0,0,ROUND($D22*I22,2))</f>
        <v>0</v>
      </c>
      <c r="O22" s="128">
        <f>SUM(L22:N22)</f>
        <v>0</v>
      </c>
      <c r="P22" s="92">
        <v>45261</v>
      </c>
    </row>
    <row r="23" spans="1:221" x14ac:dyDescent="0.2">
      <c r="A23" t="s">
        <v>226</v>
      </c>
      <c r="D23" s="4">
        <f>IF($C$15&gt;0,MAX($C$15-1000,0),MIN($C$15+1000,0))</f>
        <v>0</v>
      </c>
      <c r="E23" s="152" t="s">
        <v>19</v>
      </c>
      <c r="F23" s="1" t="s">
        <v>80</v>
      </c>
      <c r="G23" s="191"/>
      <c r="H23" s="191"/>
      <c r="I23" s="191">
        <v>2.05802E-2</v>
      </c>
      <c r="J23" s="191">
        <f>SUM(G23:I23)</f>
        <v>2.05802E-2</v>
      </c>
      <c r="K23" s="154" t="s">
        <v>85</v>
      </c>
      <c r="L23" s="189"/>
      <c r="M23" s="189"/>
      <c r="N23" s="189">
        <f>ROUND($D23*I23,2)</f>
        <v>0</v>
      </c>
      <c r="O23" s="189">
        <f>SUM(L23:N23)</f>
        <v>0</v>
      </c>
      <c r="P23" s="92">
        <v>45261</v>
      </c>
    </row>
    <row r="24" spans="1:221" x14ac:dyDescent="0.2">
      <c r="A24" s="144" t="s">
        <v>82</v>
      </c>
      <c r="B24" s="144"/>
      <c r="C24" s="144"/>
      <c r="D24" s="170"/>
      <c r="E24" s="170"/>
      <c r="F24" s="144"/>
      <c r="G24" s="144"/>
      <c r="H24" s="144"/>
      <c r="I24" s="144"/>
      <c r="J24" s="144"/>
      <c r="K24" s="172"/>
      <c r="L24" s="171"/>
      <c r="M24" s="171"/>
      <c r="N24" s="171">
        <f>SUM(N21:N23)</f>
        <v>9.4</v>
      </c>
      <c r="O24" s="171">
        <f>SUM(O21:O23)</f>
        <v>9.4</v>
      </c>
    </row>
    <row r="25" spans="1:221" x14ac:dyDescent="0.2">
      <c r="A25" s="192"/>
      <c r="B25" s="192"/>
      <c r="C25" s="193"/>
      <c r="D25" s="193"/>
      <c r="E25" s="193"/>
      <c r="F25" s="193"/>
      <c r="G25" s="194"/>
      <c r="H25" s="194"/>
      <c r="I25" s="194"/>
      <c r="J25" s="194"/>
      <c r="K25" s="192"/>
      <c r="L25" s="192"/>
      <c r="M25" s="192"/>
      <c r="N25" s="192"/>
      <c r="O25" s="192"/>
      <c r="P25" s="192"/>
    </row>
    <row r="26" spans="1:221" x14ac:dyDescent="0.2">
      <c r="A26" s="69" t="s">
        <v>83</v>
      </c>
      <c r="B26" s="102"/>
      <c r="C26" s="102"/>
      <c r="D26" s="103"/>
      <c r="E26" s="103"/>
      <c r="F26" s="102"/>
      <c r="G26" s="103"/>
      <c r="H26" s="103"/>
      <c r="I26" s="103"/>
      <c r="J26" s="103"/>
      <c r="K26" s="103"/>
      <c r="L26" s="103"/>
      <c r="M26" s="103"/>
      <c r="N26" s="103"/>
      <c r="O26" s="103"/>
      <c r="P26" s="84"/>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2"/>
      <c r="B27" s="72"/>
      <c r="C27" s="72"/>
      <c r="D27" s="72"/>
      <c r="E27" s="72"/>
      <c r="F27" s="72"/>
      <c r="G27" s="72"/>
      <c r="H27" s="72"/>
      <c r="I27" s="72"/>
      <c r="J27" s="72"/>
      <c r="K27" s="72"/>
      <c r="L27" s="72"/>
      <c r="M27" s="72"/>
      <c r="N27" s="72"/>
      <c r="O27" s="72"/>
      <c r="P27" s="1"/>
      <c r="Q27" s="84"/>
      <c r="R27" s="93"/>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84</v>
      </c>
      <c r="B28" s="110"/>
      <c r="C28" s="110"/>
      <c r="D28" s="111">
        <f>IF($C$15&lt;0,0,IF($C$15&gt;833000,833000,$C$15))</f>
        <v>0</v>
      </c>
      <c r="E28" s="97" t="s">
        <v>19</v>
      </c>
      <c r="F28" s="84" t="s">
        <v>80</v>
      </c>
      <c r="G28" s="100"/>
      <c r="H28" s="100"/>
      <c r="I28" s="100">
        <f>'Rider Rates'!$B$4</f>
        <v>5.5215000000000004E-3</v>
      </c>
      <c r="J28" s="100">
        <f t="shared" ref="J28:J43" si="0">SUM(G28:I28)</f>
        <v>5.5215000000000004E-3</v>
      </c>
      <c r="K28" s="94" t="s">
        <v>85</v>
      </c>
      <c r="L28" s="89"/>
      <c r="M28" s="89"/>
      <c r="N28" s="89">
        <f t="shared" ref="N28:N33" si="1">ROUND(D28*I28,2)</f>
        <v>0</v>
      </c>
      <c r="O28" s="89">
        <f t="shared" ref="O28:O43" si="2">SUM(L28:N28)</f>
        <v>0</v>
      </c>
      <c r="P28" s="92">
        <f>'Rider Rates'!$D$4</f>
        <v>46022</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86</v>
      </c>
      <c r="B29" s="72"/>
      <c r="C29" s="72"/>
      <c r="D29" s="4">
        <f>IF($C$15&gt;833000,$C$15-833000,0)</f>
        <v>0</v>
      </c>
      <c r="E29" s="97" t="s">
        <v>19</v>
      </c>
      <c r="F29" s="84" t="s">
        <v>80</v>
      </c>
      <c r="G29" s="100"/>
      <c r="H29" s="100"/>
      <c r="I29" s="100">
        <f>'Rider Rates'!$B$5</f>
        <v>1.7560000000000001E-4</v>
      </c>
      <c r="J29" s="100">
        <f t="shared" si="0"/>
        <v>1.7560000000000001E-4</v>
      </c>
      <c r="K29" s="94" t="s">
        <v>85</v>
      </c>
      <c r="L29" s="89"/>
      <c r="M29" s="89"/>
      <c r="N29" s="89">
        <f t="shared" si="1"/>
        <v>0</v>
      </c>
      <c r="O29" s="89">
        <f t="shared" si="2"/>
        <v>0</v>
      </c>
      <c r="P29" s="92">
        <f>'Rider Rates'!$D$4</f>
        <v>46022</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87</v>
      </c>
      <c r="B30" s="72"/>
      <c r="C30" s="72"/>
      <c r="D30" s="111">
        <f>IF('Customer Info'!$C$33=TRUE,0,IF($C$15&lt;0,0,IF($C$15&gt;2000,2000,$C$15)))</f>
        <v>0</v>
      </c>
      <c r="E30" s="97" t="s">
        <v>19</v>
      </c>
      <c r="F30" s="84" t="s">
        <v>80</v>
      </c>
      <c r="G30" s="100"/>
      <c r="H30" s="100"/>
      <c r="I30" s="112">
        <f>'Rider Rates'!$B$8</f>
        <v>4.6499999999999996E-3</v>
      </c>
      <c r="J30" s="112">
        <f t="shared" si="0"/>
        <v>4.6499999999999996E-3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88</v>
      </c>
      <c r="B31" s="72"/>
      <c r="C31" s="72"/>
      <c r="D31" s="111">
        <f>IF('Customer Info'!$C$33=TRUE,0,IF($C$15&lt;=2000,0,IF($C$15=0,0,IF($C$15-2000&gt;13000,13000,$C$15-2000))))</f>
        <v>0</v>
      </c>
      <c r="E31" s="97" t="s">
        <v>19</v>
      </c>
      <c r="F31" s="84" t="s">
        <v>80</v>
      </c>
      <c r="G31" s="100"/>
      <c r="H31" s="100"/>
      <c r="I31" s="112">
        <f>'Rider Rates'!$B$9</f>
        <v>4.1900000000000001E-3</v>
      </c>
      <c r="J31" s="112">
        <f t="shared" si="0"/>
        <v>4.1900000000000001E-3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89</v>
      </c>
      <c r="B32" s="72"/>
      <c r="C32" s="72"/>
      <c r="D32" s="111">
        <f>IF('Customer Info'!$C$33=TRUE,0,IF($C$15=0,0,IF($C$15-15000&gt;=0,$C$15-15000,0)))</f>
        <v>0</v>
      </c>
      <c r="E32" s="97" t="s">
        <v>19</v>
      </c>
      <c r="F32" s="84" t="s">
        <v>80</v>
      </c>
      <c r="G32" s="100"/>
      <c r="H32" s="100"/>
      <c r="I32" s="112">
        <f>'Rider Rates'!$B$10</f>
        <v>3.63E-3</v>
      </c>
      <c r="J32" s="112">
        <f t="shared" si="0"/>
        <v>3.63E-3</v>
      </c>
      <c r="K32" s="94" t="s">
        <v>85</v>
      </c>
      <c r="L32" s="89"/>
      <c r="M32" s="89"/>
      <c r="N32" s="89">
        <f t="shared" si="1"/>
        <v>0</v>
      </c>
      <c r="O32" s="89">
        <f t="shared" si="2"/>
        <v>0</v>
      </c>
      <c r="P32" s="92">
        <f>'Rider Rates'!$D$7</f>
        <v>44531</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90</v>
      </c>
      <c r="B33" s="72"/>
      <c r="C33" s="72"/>
      <c r="D33" s="111">
        <f>IF($C$15&lt;0,0,$C$15)</f>
        <v>0</v>
      </c>
      <c r="E33" s="97" t="s">
        <v>19</v>
      </c>
      <c r="F33" s="84" t="s">
        <v>80</v>
      </c>
      <c r="G33" s="100"/>
      <c r="H33" s="100"/>
      <c r="I33" s="100">
        <f>'Rider Rates'!$B$16</f>
        <v>0</v>
      </c>
      <c r="J33" s="100">
        <f>SUM(G33:I33)</f>
        <v>0</v>
      </c>
      <c r="K33" s="94" t="s">
        <v>85</v>
      </c>
      <c r="L33" s="89"/>
      <c r="M33" s="89"/>
      <c r="N33" s="89">
        <f t="shared" si="1"/>
        <v>0</v>
      </c>
      <c r="O33" s="89">
        <f t="shared" si="2"/>
        <v>0</v>
      </c>
      <c r="P33" s="92">
        <f>'Rider Rates'!$D$16</f>
        <v>45197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91</v>
      </c>
      <c r="B34" s="72"/>
      <c r="C34" s="72"/>
      <c r="D34" s="113">
        <f>$N$24</f>
        <v>9.4</v>
      </c>
      <c r="E34" s="97" t="s">
        <v>92</v>
      </c>
      <c r="F34" s="84" t="s">
        <v>80</v>
      </c>
      <c r="G34" s="100"/>
      <c r="H34" s="100"/>
      <c r="I34" s="114">
        <f>'Rider Rates'!$B$18+'Rider Rates'!$E$18</f>
        <v>0</v>
      </c>
      <c r="J34" s="114">
        <f>SUM(G34:I34)</f>
        <v>0</v>
      </c>
      <c r="K34" s="94"/>
      <c r="L34" s="89"/>
      <c r="M34" s="89"/>
      <c r="N34" s="89">
        <f>ROUND($D$34*'Rider Rates'!$B$18,2)+ROUND($D$34*'Rider Rates'!$E$18,2)</f>
        <v>0</v>
      </c>
      <c r="O34" s="89">
        <f t="shared" si="2"/>
        <v>0</v>
      </c>
      <c r="P34" s="92">
        <f>MAX('Rider Rates'!$D$18,'Rider Rates'!$F$18)</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f>IF($C$15&lt;0,0,IF($C$15&gt;833000,833000,$C$15))</f>
        <v>0</v>
      </c>
      <c r="E35" s="97" t="s">
        <v>19</v>
      </c>
      <c r="F35" s="84" t="s">
        <v>80</v>
      </c>
      <c r="G35" s="100"/>
      <c r="H35" s="100"/>
      <c r="I35" s="100">
        <f>'Rider Rates'!D53</f>
        <v>0</v>
      </c>
      <c r="J35" s="100">
        <f>SUM(G35:I35)</f>
        <v>0</v>
      </c>
      <c r="K35" s="94" t="s">
        <v>85</v>
      </c>
      <c r="L35" s="89"/>
      <c r="M35" s="89"/>
      <c r="N35" s="89">
        <f>D35*J35</f>
        <v>0</v>
      </c>
      <c r="O35" s="89">
        <f t="shared" si="2"/>
        <v>0</v>
      </c>
      <c r="P35" s="92">
        <f>'Rider Rates'!E53</f>
        <v>45883</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IF($C$15&lt;0,0,$C$15)</f>
        <v>0</v>
      </c>
      <c r="E36" s="97" t="s">
        <v>19</v>
      </c>
      <c r="F36" s="84" t="s">
        <v>80</v>
      </c>
      <c r="G36" s="100"/>
      <c r="H36" s="100">
        <f>'Rider Rates'!$B$58</f>
        <v>2.1561400000000001E-2</v>
      </c>
      <c r="I36" s="100"/>
      <c r="J36" s="100">
        <f>SUM(G36:I36)</f>
        <v>2.1561400000000001E-2</v>
      </c>
      <c r="K36" s="94" t="s">
        <v>85</v>
      </c>
      <c r="L36" s="89"/>
      <c r="M36" s="89">
        <f>ROUND(D36*H36,2)</f>
        <v>0</v>
      </c>
      <c r="N36" s="116"/>
      <c r="O36" s="89">
        <f t="shared" si="2"/>
        <v>0</v>
      </c>
      <c r="P36" s="92">
        <f>'Rider Rates'!$D$58</f>
        <v>45929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99</v>
      </c>
      <c r="B37" s="72"/>
      <c r="C37" s="72"/>
      <c r="D37" s="111">
        <f>IF('Customer Info'!C35=TRUE,0,IF($C$15&lt;0,0,$C$15))</f>
        <v>0</v>
      </c>
      <c r="E37" s="97" t="s">
        <v>19</v>
      </c>
      <c r="F37" s="84" t="s">
        <v>80</v>
      </c>
      <c r="G37" s="100"/>
      <c r="H37" s="100"/>
      <c r="I37" s="100">
        <f>'Rider Rates'!$B$72+'Rider Rates'!$C$72</f>
        <v>0</v>
      </c>
      <c r="J37" s="100">
        <f t="shared" si="0"/>
        <v>0</v>
      </c>
      <c r="K37" s="94" t="s">
        <v>85</v>
      </c>
      <c r="L37" s="89"/>
      <c r="M37" s="89"/>
      <c r="N37" s="89">
        <f>ROUND($D$37*'Rider Rates'!$B$72,2)+ROUND($D$37*'Rider Rates'!$C$72,2)</f>
        <v>0</v>
      </c>
      <c r="O37" s="89">
        <f t="shared" si="2"/>
        <v>0</v>
      </c>
      <c r="P37" s="92">
        <f>'Rider Rates'!$D$72</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c r="E38" s="97" t="s">
        <v>55</v>
      </c>
      <c r="F38" s="84"/>
      <c r="G38" s="100"/>
      <c r="H38" s="100"/>
      <c r="I38" s="121">
        <f>'Rider Rates'!$B$79</f>
        <v>0</v>
      </c>
      <c r="J38" s="121">
        <f>IF('Customer Info'!C35=TRUE,0,SUM(G38:I38))</f>
        <v>0</v>
      </c>
      <c r="K38" s="94"/>
      <c r="L38" s="89"/>
      <c r="M38" s="89"/>
      <c r="N38" s="89">
        <f>J38</f>
        <v>0</v>
      </c>
      <c r="O38" s="89">
        <f>SUM(L38:N38)</f>
        <v>0</v>
      </c>
      <c r="P38" s="92">
        <f>'Rider Rates'!$D$79</f>
        <v>45444</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$N$24</f>
        <v>9.4</v>
      </c>
      <c r="E39" s="97" t="s">
        <v>92</v>
      </c>
      <c r="F39" s="84" t="s">
        <v>80</v>
      </c>
      <c r="G39" s="117"/>
      <c r="H39" s="118"/>
      <c r="I39" s="119">
        <f>'Rider Rates'!$B$87</f>
        <v>3.5344300000000002E-2</v>
      </c>
      <c r="J39" s="119">
        <f t="shared" si="0"/>
        <v>3.5344300000000002E-2</v>
      </c>
      <c r="K39" s="94"/>
      <c r="L39" s="89"/>
      <c r="M39" s="89"/>
      <c r="N39" s="89">
        <f>ROUND(D39*I39,2)</f>
        <v>0.33</v>
      </c>
      <c r="O39" s="89">
        <f t="shared" si="2"/>
        <v>0.33</v>
      </c>
      <c r="P39" s="92">
        <f>'Rider Rates'!$D$87</f>
        <v>45929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$N$24</f>
        <v>9.4</v>
      </c>
      <c r="E40" s="97" t="s">
        <v>92</v>
      </c>
      <c r="F40" s="84" t="s">
        <v>80</v>
      </c>
      <c r="G40" s="120"/>
      <c r="H40" s="85"/>
      <c r="I40" s="119">
        <f>'Rider Rates'!$B$89</f>
        <v>7.8822199999999995E-2</v>
      </c>
      <c r="J40" s="119">
        <f t="shared" si="0"/>
        <v>7.8822199999999995E-2</v>
      </c>
      <c r="K40" s="94"/>
      <c r="L40" s="89"/>
      <c r="M40" s="89"/>
      <c r="N40" s="89">
        <f>ROUND(D40*I40,2)</f>
        <v>0.74</v>
      </c>
      <c r="O40" s="89">
        <f t="shared" si="2"/>
        <v>0.74</v>
      </c>
      <c r="P40" s="92">
        <f>'Rider Rates'!$D$89</f>
        <v>45987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Rates'!$B$93</f>
        <v>21.84</v>
      </c>
      <c r="J41" s="121">
        <f t="shared" si="0"/>
        <v>21.84</v>
      </c>
      <c r="K41" s="94"/>
      <c r="L41" s="89"/>
      <c r="M41" s="89"/>
      <c r="N41" s="89">
        <f>I41</f>
        <v>21.84</v>
      </c>
      <c r="O41" s="89">
        <f t="shared" si="2"/>
        <v>21.84</v>
      </c>
      <c r="P41" s="92">
        <f>'Rider Rates'!$D$93</f>
        <v>46022</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104</v>
      </c>
      <c r="B42" s="72"/>
      <c r="C42" s="72"/>
      <c r="D42" s="113">
        <f>$N$24</f>
        <v>9.4</v>
      </c>
      <c r="E42" s="97" t="s">
        <v>92</v>
      </c>
      <c r="F42" s="84" t="s">
        <v>80</v>
      </c>
      <c r="G42" s="120"/>
      <c r="H42" s="85"/>
      <c r="I42" s="119">
        <f>'Rider Rates'!$B$107</f>
        <v>0.24079249999999999</v>
      </c>
      <c r="J42" s="119">
        <f t="shared" si="0"/>
        <v>0.24079249999999999</v>
      </c>
      <c r="K42" s="94"/>
      <c r="L42" s="89"/>
      <c r="M42" s="89"/>
      <c r="N42" s="89">
        <f>ROUND(D42*I42,2)</f>
        <v>2.2599999999999998</v>
      </c>
      <c r="O42" s="89">
        <f t="shared" si="2"/>
        <v>2.2599999999999998</v>
      </c>
      <c r="P42" s="92">
        <f>'Rider Rates'!$D$107</f>
        <v>45987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105</v>
      </c>
      <c r="B43" s="72"/>
      <c r="C43" s="72"/>
      <c r="D43" s="113"/>
      <c r="E43" s="97" t="s">
        <v>55</v>
      </c>
      <c r="F43" s="84"/>
      <c r="G43" s="120"/>
      <c r="H43" s="85"/>
      <c r="I43" s="123">
        <f>'Rider Rates'!B123</f>
        <v>0.99</v>
      </c>
      <c r="J43" s="121">
        <f t="shared" si="0"/>
        <v>0.99</v>
      </c>
      <c r="K43" s="94"/>
      <c r="L43" s="89"/>
      <c r="M43" s="89"/>
      <c r="N43" s="125">
        <f>I43</f>
        <v>0.99</v>
      </c>
      <c r="O43" s="89">
        <f t="shared" si="2"/>
        <v>0.99</v>
      </c>
      <c r="P43" s="92">
        <f>'Rider Rates'!D123</f>
        <v>45958</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107</v>
      </c>
      <c r="B44" s="72"/>
      <c r="C44" s="72"/>
      <c r="D44" s="111">
        <f>IF($C$15&lt;1,0,$C$15)</f>
        <v>0</v>
      </c>
      <c r="E44" s="97" t="s">
        <v>19</v>
      </c>
      <c r="F44" s="126" t="s">
        <v>80</v>
      </c>
      <c r="G44" s="99"/>
      <c r="H44" s="99"/>
      <c r="I44" s="183">
        <f>'Rider Rates'!B119</f>
        <v>0</v>
      </c>
      <c r="J44" s="183">
        <f>SUM(G44:I44)</f>
        <v>0</v>
      </c>
      <c r="K44" s="94" t="s">
        <v>85</v>
      </c>
      <c r="L44" s="89"/>
      <c r="M44" s="89"/>
      <c r="N44" s="89">
        <f>D44*J44</f>
        <v>0</v>
      </c>
      <c r="O44" s="89">
        <f>SUM(L44:N44)</f>
        <v>0</v>
      </c>
      <c r="P44" s="92">
        <f>'Rider Rates'!D119</f>
        <v>45657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166</v>
      </c>
      <c r="B45" s="72"/>
      <c r="C45" s="72"/>
      <c r="D45" s="111">
        <f>IF(C15&lt;0,0,IF(C15&gt;833000,833000,C15))</f>
        <v>0</v>
      </c>
      <c r="E45" s="97" t="s">
        <v>19</v>
      </c>
      <c r="F45" s="84" t="s">
        <v>80</v>
      </c>
      <c r="G45" s="195"/>
      <c r="H45" s="195"/>
      <c r="I45" s="195">
        <f>'Rider Rates'!B127</f>
        <v>0</v>
      </c>
      <c r="J45" s="195">
        <f>SUM(G45:I45)</f>
        <v>0</v>
      </c>
      <c r="K45" s="94" t="s">
        <v>85</v>
      </c>
      <c r="L45" s="196"/>
      <c r="M45" s="196"/>
      <c r="N45" s="196">
        <f>IF(D45*J45&gt;'Rider Rates'!$C$127,'Rider Rates'!$C$127,D45*J45)</f>
        <v>0</v>
      </c>
      <c r="O45" s="196">
        <f>SUM(L45:N45)</f>
        <v>0</v>
      </c>
      <c r="P45" s="129">
        <f>'Rider Rates'!$E$127</f>
        <v>45883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2" t="s">
        <v>167</v>
      </c>
      <c r="B46" s="72"/>
      <c r="C46" s="72"/>
      <c r="D46" s="4">
        <f>IF(C15&gt;833000,C15-833000,0)</f>
        <v>0</v>
      </c>
      <c r="E46" s="97" t="s">
        <v>19</v>
      </c>
      <c r="F46" s="84" t="s">
        <v>80</v>
      </c>
      <c r="G46" s="195"/>
      <c r="H46" s="195"/>
      <c r="I46" s="195">
        <f>'Rider Rates'!B128</f>
        <v>0</v>
      </c>
      <c r="J46" s="195">
        <f>SUM(G46:I46)</f>
        <v>0</v>
      </c>
      <c r="K46" s="94" t="s">
        <v>85</v>
      </c>
      <c r="L46" s="196"/>
      <c r="M46" s="196"/>
      <c r="N46" s="196">
        <f>D46*J46</f>
        <v>0</v>
      </c>
      <c r="O46" s="196">
        <f>SUM(L46:N46)</f>
        <v>0</v>
      </c>
      <c r="P46" s="129">
        <f>'Rider Rates'!$E$128</f>
        <v>45883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2" t="s">
        <v>109</v>
      </c>
      <c r="B47" s="72"/>
      <c r="C47" s="72"/>
      <c r="D47" s="111">
        <f>C15</f>
        <v>0</v>
      </c>
      <c r="E47" s="97" t="s">
        <v>19</v>
      </c>
      <c r="F47" s="126" t="s">
        <v>80</v>
      </c>
      <c r="G47" s="100"/>
      <c r="H47" s="100"/>
      <c r="I47" s="100">
        <f>'Rider Rates'!$B$132</f>
        <v>0</v>
      </c>
      <c r="J47" s="115">
        <f>SUM(G47:I47)</f>
        <v>0</v>
      </c>
      <c r="K47" s="94" t="s">
        <v>85</v>
      </c>
      <c r="L47" s="89"/>
      <c r="M47" s="89"/>
      <c r="N47" s="89">
        <f>D47*J47</f>
        <v>0</v>
      </c>
      <c r="O47" s="89">
        <f>SUM(L47:N47)</f>
        <v>0</v>
      </c>
      <c r="P47" s="92">
        <f>'Rider Rates'!$D$132</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110</v>
      </c>
      <c r="B48" s="72"/>
      <c r="C48" s="72"/>
      <c r="D48" s="111"/>
      <c r="E48" s="97" t="s">
        <v>55</v>
      </c>
      <c r="F48" s="84" t="s">
        <v>80</v>
      </c>
      <c r="G48" s="127"/>
      <c r="H48" s="127"/>
      <c r="I48" s="127">
        <f>'Rider Rates'!$B$139</f>
        <v>0</v>
      </c>
      <c r="J48" s="127">
        <f>SUM(G48:I48)</f>
        <v>0</v>
      </c>
      <c r="K48" s="94"/>
      <c r="L48" s="128"/>
      <c r="M48" s="128"/>
      <c r="N48" s="128">
        <f>J48</f>
        <v>0</v>
      </c>
      <c r="O48" s="128">
        <f>SUM(L48:N48)</f>
        <v>0</v>
      </c>
      <c r="P48" s="129">
        <f>'Rider Rates'!D139</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111</v>
      </c>
      <c r="B49" s="72"/>
      <c r="C49" s="72"/>
      <c r="D49" s="111"/>
      <c r="E49" s="97"/>
      <c r="F49" s="84"/>
      <c r="G49" s="127"/>
      <c r="H49" s="127"/>
      <c r="I49" s="127"/>
      <c r="J49" s="127"/>
      <c r="K49" s="94"/>
      <c r="L49" s="128"/>
      <c r="M49" s="128"/>
      <c r="N49" s="128"/>
      <c r="O49" s="128"/>
      <c r="P49" s="129"/>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130" t="s">
        <v>112</v>
      </c>
      <c r="B50" s="69"/>
      <c r="C50" s="69"/>
      <c r="D50" s="131"/>
      <c r="E50" s="132"/>
      <c r="F50" s="133"/>
      <c r="G50" s="133"/>
      <c r="H50" s="133"/>
      <c r="I50" s="133"/>
      <c r="J50" s="133"/>
      <c r="K50" s="134"/>
      <c r="L50" s="105">
        <f>SUM(L28:L49)</f>
        <v>0</v>
      </c>
      <c r="M50" s="105">
        <f>SUM(M28:M49)</f>
        <v>0</v>
      </c>
      <c r="N50" s="105">
        <f>SUM(N28:N49)</f>
        <v>26.16</v>
      </c>
      <c r="O50" s="105">
        <f>SUM(O28:O49)</f>
        <v>26.16</v>
      </c>
      <c r="P50" s="135"/>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c r="B51" s="72"/>
      <c r="C51" s="72"/>
      <c r="D51" s="111"/>
      <c r="E51" s="97"/>
      <c r="F51" s="84"/>
      <c r="G51" s="84"/>
      <c r="H51" s="84"/>
      <c r="I51" s="84"/>
      <c r="J51" s="101"/>
      <c r="K51" s="94"/>
      <c r="L51" s="84"/>
      <c r="M51" s="84"/>
      <c r="N51" s="84"/>
      <c r="O51" s="84"/>
      <c r="P51" s="137"/>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138" t="s">
        <v>113</v>
      </c>
      <c r="B52" s="106"/>
      <c r="C52" s="106"/>
      <c r="D52" s="106"/>
      <c r="E52" s="106"/>
      <c r="F52" s="106"/>
      <c r="G52" s="106"/>
      <c r="H52" s="106"/>
      <c r="I52" s="106"/>
      <c r="J52" s="106"/>
      <c r="K52" s="106"/>
      <c r="L52" s="139">
        <f>L24+L50</f>
        <v>0</v>
      </c>
      <c r="M52" s="139">
        <f>M24+M50</f>
        <v>0</v>
      </c>
      <c r="N52" s="139">
        <f>N24+N50</f>
        <v>35.56</v>
      </c>
      <c r="O52" s="140">
        <f>O24+O50</f>
        <v>35.56</v>
      </c>
      <c r="P52" s="140"/>
      <c r="Q52" s="84"/>
      <c r="R52" s="197"/>
      <c r="S52" s="94"/>
      <c r="T52" s="95"/>
      <c r="U52" s="72"/>
      <c r="V52" s="94"/>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c r="B53" s="72"/>
      <c r="C53" s="72"/>
      <c r="D53" s="72"/>
      <c r="E53" s="72"/>
      <c r="F53" s="72"/>
      <c r="G53" s="72"/>
      <c r="H53" s="72"/>
      <c r="I53" s="72"/>
      <c r="J53" s="72"/>
      <c r="K53" s="72"/>
      <c r="L53" s="72"/>
      <c r="M53" s="72"/>
      <c r="N53" s="72"/>
      <c r="O53" s="72"/>
      <c r="P53" s="72"/>
      <c r="Q53" s="102"/>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72"/>
      <c r="P54" s="72"/>
      <c r="Q54" s="102"/>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02" t="s">
        <v>114</v>
      </c>
      <c r="B55" s="72"/>
      <c r="C55" s="72"/>
      <c r="D55" s="72"/>
      <c r="E55" s="72"/>
      <c r="F55" s="72"/>
      <c r="G55" s="72"/>
      <c r="H55" s="72"/>
      <c r="I55" s="72"/>
      <c r="J55" s="72"/>
      <c r="K55" s="72"/>
      <c r="L55" s="72"/>
      <c r="M55" s="72"/>
      <c r="N55" s="72"/>
      <c r="O55" s="95">
        <f>O21+O50</f>
        <v>35.56</v>
      </c>
      <c r="P55" s="72"/>
      <c r="Q55" s="102"/>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02" t="s">
        <v>2</v>
      </c>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69" t="s">
        <v>115</v>
      </c>
      <c r="B57" s="72"/>
      <c r="C57" s="72"/>
      <c r="D57" s="72"/>
      <c r="E57" s="72"/>
      <c r="F57" s="72"/>
      <c r="G57" s="72"/>
      <c r="H57" s="72"/>
      <c r="I57" s="72"/>
      <c r="J57" s="72"/>
      <c r="K57" s="72"/>
      <c r="L57" s="72"/>
      <c r="M57" s="72"/>
      <c r="N57" s="72"/>
      <c r="O57" s="141">
        <f>IF($D$17&lt;0,O52,IF(O52&gt;O55,O52,O55))</f>
        <v>35.56</v>
      </c>
      <c r="P57" s="84"/>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ht="15" customHeight="1" x14ac:dyDescent="0.2">
      <c r="A58" s="69"/>
      <c r="B58" s="72"/>
      <c r="C58" s="72"/>
      <c r="D58" s="72"/>
      <c r="E58" s="72"/>
      <c r="F58" s="72"/>
      <c r="G58" s="72"/>
      <c r="H58" s="72"/>
      <c r="I58" s="72"/>
      <c r="J58" s="72"/>
      <c r="K58" s="72"/>
      <c r="L58" s="72"/>
      <c r="M58" s="72"/>
      <c r="N58" s="72"/>
      <c r="O58" s="141"/>
      <c r="P58" s="84"/>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c r="HN58" s="72"/>
      <c r="HO58" s="72"/>
      <c r="HP58" s="72"/>
      <c r="HQ58" s="72"/>
      <c r="HR58" s="72"/>
      <c r="HS58" s="72"/>
      <c r="HT58" s="72"/>
      <c r="HU58" s="72"/>
      <c r="HV58" s="72"/>
      <c r="HW58" s="72"/>
      <c r="HX58" s="72"/>
      <c r="HY58" s="72"/>
      <c r="HZ58" s="72"/>
      <c r="IA58" s="72"/>
      <c r="IB58" s="72"/>
    </row>
    <row r="59" spans="1:236" x14ac:dyDescent="0.2">
      <c r="A59" s="69"/>
      <c r="B59" s="102"/>
      <c r="C59" s="102"/>
      <c r="D59" s="102"/>
      <c r="E59" s="102"/>
      <c r="F59" s="102"/>
      <c r="G59" s="102"/>
      <c r="H59" s="102"/>
      <c r="I59" s="102" t="s">
        <v>116</v>
      </c>
      <c r="J59" s="102"/>
      <c r="K59" s="102"/>
      <c r="L59" s="143"/>
      <c r="M59" s="143"/>
      <c r="N59" s="143"/>
      <c r="O59" s="143">
        <f>ROUND(IF($C$15&lt;1,0,O52/($C$15*100)*10000),2)</f>
        <v>0</v>
      </c>
      <c r="P59" s="144" t="s">
        <v>117</v>
      </c>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HE59" s="72"/>
      <c r="HF59" s="72"/>
      <c r="HG59" s="72"/>
      <c r="HH59" s="72"/>
      <c r="HI59" s="72"/>
      <c r="HJ59" s="72"/>
      <c r="HK59" s="72"/>
      <c r="HL59" s="72"/>
      <c r="HM59" s="72"/>
      <c r="HN59" s="72"/>
    </row>
    <row r="60" spans="1:236" x14ac:dyDescent="0.2">
      <c r="B60" s="72"/>
      <c r="C60" s="72"/>
      <c r="D60" s="72"/>
      <c r="E60" s="72"/>
      <c r="F60" s="72"/>
      <c r="G60" s="72"/>
      <c r="H60" s="145"/>
      <c r="I60" s="146" t="s">
        <v>118</v>
      </c>
      <c r="J60" s="72"/>
      <c r="K60" s="72"/>
      <c r="L60" s="72"/>
      <c r="M60" s="72"/>
      <c r="N60" s="72"/>
      <c r="O60" s="147">
        <f>ROUND(IF($C$15&lt;1,0,(L52)/($C$15*100)*10000),2)</f>
        <v>0</v>
      </c>
      <c r="P60" s="59" t="s">
        <v>117</v>
      </c>
      <c r="Q60" s="72"/>
      <c r="R60" s="72"/>
      <c r="S60" s="72"/>
      <c r="T60" s="72"/>
      <c r="U60" s="72"/>
      <c r="V60" s="72"/>
      <c r="W60" s="72"/>
      <c r="X60" s="72"/>
      <c r="Y60" s="72"/>
      <c r="Z60" s="72"/>
      <c r="AA60" s="72"/>
      <c r="AB60" s="72"/>
      <c r="AC60" s="72"/>
      <c r="AD60" s="72"/>
      <c r="AE60" s="72"/>
      <c r="AF60" s="72"/>
      <c r="AG60" s="72"/>
      <c r="AH60" s="72"/>
      <c r="AI60" s="72"/>
      <c r="AJ60" s="72"/>
      <c r="AK60" s="72"/>
    </row>
  </sheetData>
  <sheetProtection algorithmName="SHA-512" hashValue="4xmlW7O+tSorioQABqixmumpOsFU0GveKaAssJoGlqTs0uqKPR7m4H3Wt8OCKyr0uzXhLeuORYXLbM9v79SKDg==" saltValue="/nehKbiEF1lM9ZOt/SdoA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4578" r:id="rId5" name="Button 2">
              <controlPr defaultSize="0" print="0" autoFill="0" autoPict="0" macro="[0]!Info">
                <anchor moveWithCells="1">
                  <from>
                    <xdr:col>15</xdr:col>
                    <xdr:colOff>190500</xdr:colOff>
                    <xdr:row>67</xdr:row>
                    <xdr:rowOff>47625</xdr:rowOff>
                  </from>
                  <to>
                    <xdr:col>15</xdr:col>
                    <xdr:colOff>542925</xdr:colOff>
                    <xdr:row>68</xdr:row>
                    <xdr:rowOff>104775</xdr:rowOff>
                  </to>
                </anchor>
              </controlPr>
            </control>
          </mc:Choice>
        </mc:AlternateContent>
        <mc:AlternateContent xmlns:mc="http://schemas.openxmlformats.org/markup-compatibility/2006">
          <mc:Choice Requires="x14">
            <control shapeId="2457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AF3CE-AE64-4E39-AA7F-707ADC087182}">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48" t="s">
        <v>50</v>
      </c>
      <c r="B1" s="448"/>
      <c r="C1" s="448"/>
      <c r="D1" s="448"/>
      <c r="E1" s="448"/>
      <c r="F1" s="448"/>
      <c r="G1" s="448"/>
      <c r="H1" s="448"/>
      <c r="I1" s="448"/>
      <c r="J1" s="448"/>
      <c r="K1" s="448"/>
      <c r="L1" s="448"/>
      <c r="M1" s="448"/>
      <c r="N1" s="448"/>
      <c r="O1" s="448"/>
      <c r="P1" s="448"/>
    </row>
    <row r="2" spans="1:30" ht="20.25" x14ac:dyDescent="0.3">
      <c r="A2" s="432" t="s">
        <v>138</v>
      </c>
      <c r="B2" s="432"/>
      <c r="C2" s="432"/>
      <c r="D2" s="432"/>
      <c r="E2" s="432"/>
      <c r="F2" s="432"/>
      <c r="G2" s="432"/>
      <c r="H2" s="432"/>
      <c r="I2" s="432"/>
      <c r="J2" s="432"/>
      <c r="K2" s="432"/>
      <c r="L2" s="432"/>
      <c r="M2" s="432"/>
      <c r="N2" s="432"/>
      <c r="O2" s="432"/>
      <c r="P2" s="432"/>
    </row>
    <row r="3" spans="1:30" ht="18" x14ac:dyDescent="0.25">
      <c r="A3" s="449" t="s">
        <v>163</v>
      </c>
      <c r="B3" s="449"/>
      <c r="C3" s="449"/>
      <c r="D3" s="449"/>
      <c r="E3" s="449"/>
      <c r="F3" s="449"/>
      <c r="G3" s="449"/>
      <c r="H3" s="449"/>
      <c r="I3" s="449"/>
      <c r="J3" s="449"/>
      <c r="K3" s="449"/>
      <c r="L3" s="449"/>
      <c r="M3" s="449"/>
      <c r="N3" s="449"/>
      <c r="O3" s="449"/>
      <c r="P3" s="449"/>
    </row>
    <row r="4" spans="1:30"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30" ht="15" x14ac:dyDescent="0.2">
      <c r="A5" s="55"/>
      <c r="B5" s="55"/>
      <c r="C5" s="55"/>
      <c r="D5" s="55"/>
      <c r="E5" s="55"/>
      <c r="F5" s="55"/>
      <c r="G5" s="55"/>
      <c r="H5" s="55"/>
      <c r="I5" s="55"/>
      <c r="J5" s="55"/>
      <c r="K5" s="55"/>
    </row>
    <row r="6" spans="1:30" x14ac:dyDescent="0.2">
      <c r="A6" s="56">
        <f ca="1">TODAY()</f>
        <v>46051</v>
      </c>
      <c r="B6" s="76" t="s">
        <v>168</v>
      </c>
      <c r="C6" s="56"/>
      <c r="D6" s="56"/>
      <c r="E6" s="56"/>
      <c r="F6" s="56"/>
      <c r="G6" s="56"/>
      <c r="H6" s="56"/>
      <c r="I6" s="56"/>
    </row>
    <row r="7" spans="1:30" ht="26.25" x14ac:dyDescent="0.4">
      <c r="A7" s="450"/>
      <c r="B7" s="450"/>
      <c r="C7" s="450"/>
      <c r="D7" s="450"/>
      <c r="E7" s="450"/>
      <c r="F7" s="450"/>
      <c r="G7" s="450"/>
      <c r="H7" s="450"/>
      <c r="I7" s="450"/>
      <c r="J7" s="450"/>
      <c r="K7" s="450"/>
      <c r="L7" s="450"/>
      <c r="M7" s="450"/>
      <c r="N7" s="450"/>
      <c r="O7" s="450"/>
      <c r="P7" s="450"/>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2</v>
      </c>
      <c r="C11" s="63" t="str">
        <f>LOOKUP(B11,R11:AD11,R12:AD12)</f>
        <v>February</v>
      </c>
      <c r="D11" s="64">
        <f>'Customer Info'!C9</f>
        <v>2026</v>
      </c>
      <c r="S11">
        <v>1</v>
      </c>
      <c r="T11">
        <v>2</v>
      </c>
      <c r="U11">
        <v>3</v>
      </c>
      <c r="V11">
        <v>4</v>
      </c>
      <c r="W11">
        <v>5</v>
      </c>
      <c r="X11">
        <v>6</v>
      </c>
      <c r="Y11">
        <v>7</v>
      </c>
      <c r="Z11">
        <v>8</v>
      </c>
      <c r="AA11">
        <v>9</v>
      </c>
      <c r="AB11">
        <v>10</v>
      </c>
      <c r="AC11">
        <v>11</v>
      </c>
      <c r="AD11">
        <v>12</v>
      </c>
    </row>
    <row r="12" spans="1:30" x14ac:dyDescent="0.2">
      <c r="A12" s="443"/>
      <c r="B12" s="443"/>
      <c r="C12" s="443"/>
      <c r="D12" s="443"/>
      <c r="E12" s="443"/>
      <c r="F12" s="443"/>
      <c r="G12" s="443"/>
      <c r="H12" s="443"/>
      <c r="I12" s="443"/>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44" t="s">
        <v>71</v>
      </c>
      <c r="H19" s="445"/>
      <c r="I19" s="445"/>
      <c r="J19" s="446"/>
      <c r="K19" s="163"/>
      <c r="L19" s="447" t="s">
        <v>72</v>
      </c>
      <c r="M19" s="447"/>
      <c r="N19" s="447"/>
      <c r="O19" s="447"/>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5.5215000000000004E-3</v>
      </c>
      <c r="J27" s="100">
        <f t="shared" ref="J27:J47" si="0">SUM(G27:I27)</f>
        <v>5.5215000000000004E-3</v>
      </c>
      <c r="K27" s="94" t="s">
        <v>85</v>
      </c>
      <c r="L27" s="89"/>
      <c r="M27" s="89"/>
      <c r="N27" s="89">
        <f t="shared" ref="N27:N32" si="1">ROUND(D27*I27,2)</f>
        <v>0</v>
      </c>
      <c r="O27" s="89">
        <f t="shared" ref="O27:O48" si="2">SUM(L27:N27)</f>
        <v>0</v>
      </c>
      <c r="P27" s="92">
        <f>'Rider Rates'!$D$4</f>
        <v>46022</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46022</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c r="H34" s="100"/>
      <c r="I34" s="100"/>
      <c r="J34" s="115">
        <f>SUM(G34:H34)</f>
        <v>0</v>
      </c>
      <c r="K34" s="94" t="s">
        <v>85</v>
      </c>
      <c r="L34" s="89"/>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c r="H35" s="100"/>
      <c r="I35" s="100"/>
      <c r="J35" s="115">
        <f>SUM(G35:H35)</f>
        <v>0</v>
      </c>
      <c r="K35" s="94" t="s">
        <v>85</v>
      </c>
      <c r="L35" s="89"/>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c r="H36" s="100"/>
      <c r="I36" s="100"/>
      <c r="J36" s="115">
        <f>SUM(G36:H36)</f>
        <v>0</v>
      </c>
      <c r="K36" s="94" t="s">
        <v>85</v>
      </c>
      <c r="L36" s="89"/>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c r="H37" s="100"/>
      <c r="I37" s="100"/>
      <c r="J37" s="115">
        <f>SUM(G37:H37)</f>
        <v>0</v>
      </c>
      <c r="K37" s="94" t="s">
        <v>85</v>
      </c>
      <c r="L37" s="89"/>
      <c r="M37" s="89"/>
      <c r="N37" s="89"/>
      <c r="O37" s="89">
        <f t="shared" si="2"/>
        <v>0</v>
      </c>
      <c r="P37" s="92">
        <f>'Rider Rates'!$D$49</f>
        <v>46022</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2.1561400000000001E-2</v>
      </c>
      <c r="I39" s="100"/>
      <c r="J39" s="100">
        <f>SUM(G39:I39)</f>
        <v>2.1561400000000001E-2</v>
      </c>
      <c r="K39" s="94" t="s">
        <v>85</v>
      </c>
      <c r="L39" s="89"/>
      <c r="M39" s="89">
        <f>ROUND(D39*H39,2)</f>
        <v>0</v>
      </c>
      <c r="N39" s="116"/>
      <c r="O39" s="89">
        <f t="shared" si="2"/>
        <v>0</v>
      </c>
      <c r="P39" s="92">
        <f>'Rider Rates'!$D$58</f>
        <v>45929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3.5344300000000002E-2</v>
      </c>
      <c r="J42" s="119">
        <f t="shared" si="0"/>
        <v>3.5344300000000002E-2</v>
      </c>
      <c r="K42" s="94"/>
      <c r="L42" s="89"/>
      <c r="M42" s="89"/>
      <c r="N42" s="89">
        <f>ROUND(D42*I42,2)</f>
        <v>0.33</v>
      </c>
      <c r="O42" s="89">
        <f t="shared" si="2"/>
        <v>0.33</v>
      </c>
      <c r="P42" s="92">
        <f>'Rider Rates'!$D$87</f>
        <v>45929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7.8822199999999995E-2</v>
      </c>
      <c r="J43" s="119">
        <f t="shared" si="0"/>
        <v>7.8822199999999995E-2</v>
      </c>
      <c r="K43" s="94"/>
      <c r="L43" s="89"/>
      <c r="M43" s="89"/>
      <c r="N43" s="89">
        <f>ROUND(D43*I43,2)</f>
        <v>0.74</v>
      </c>
      <c r="O43" s="89">
        <f t="shared" si="2"/>
        <v>0.74</v>
      </c>
      <c r="P43" s="92">
        <f>'Rider Rates'!$D$89</f>
        <v>45987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21.84</v>
      </c>
      <c r="J44" s="121">
        <f t="shared" si="0"/>
        <v>21.84</v>
      </c>
      <c r="K44" s="94"/>
      <c r="L44" s="89"/>
      <c r="M44" s="89"/>
      <c r="N44" s="89">
        <f>I44</f>
        <v>21.84</v>
      </c>
      <c r="O44" s="89">
        <f t="shared" si="2"/>
        <v>21.84</v>
      </c>
      <c r="P44" s="92">
        <f>'Rider Rates'!$D$93</f>
        <v>46022</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0.24079249999999999</v>
      </c>
      <c r="J46" s="119">
        <f t="shared" si="0"/>
        <v>0.24079249999999999</v>
      </c>
      <c r="K46" s="94"/>
      <c r="L46" s="89"/>
      <c r="M46" s="89"/>
      <c r="N46" s="89">
        <f>ROUND(D46*I46,2)</f>
        <v>2.2599999999999998</v>
      </c>
      <c r="O46" s="89">
        <f t="shared" si="2"/>
        <v>2.2599999999999998</v>
      </c>
      <c r="P46" s="92">
        <f>'Rider Rates'!$D$107</f>
        <v>45987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 t="shared" si="0"/>
        <v>0.99</v>
      </c>
      <c r="K47" s="94"/>
      <c r="L47" s="89"/>
      <c r="M47" s="89"/>
      <c r="N47" s="125">
        <f>I47</f>
        <v>0.99</v>
      </c>
      <c r="O47" s="89">
        <f t="shared" si="2"/>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c r="H48" s="100"/>
      <c r="I48" s="119"/>
      <c r="J48" s="115">
        <f>SUM(G48:H48)</f>
        <v>0</v>
      </c>
      <c r="K48" s="94" t="s">
        <v>85</v>
      </c>
      <c r="L48" s="89"/>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26.16</v>
      </c>
      <c r="O55" s="105">
        <f>SUM(O27:O54)</f>
        <v>26.16</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35.56</v>
      </c>
      <c r="O57" s="140">
        <f>O23+O55</f>
        <v>35.56</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35.56</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35.56</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uUofWCW2nQylKOKFX88RTeOZ3uqTbhXNUL836aq8PRcYF6U/l3eRPOje/2BFume60dcrN6B+3BK8HpeKq0PWEA==" saltValue="fmb5Q8pm8iTu/I/1lz0ys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560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560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2FCF4-E426-4C40-BC94-D13D544F5EFA}">
  <dimension ref="A1:IB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2" t="s">
        <v>50</v>
      </c>
      <c r="B1" s="432"/>
      <c r="C1" s="432"/>
      <c r="D1" s="432"/>
      <c r="E1" s="432"/>
      <c r="F1" s="432"/>
      <c r="G1" s="432"/>
      <c r="H1" s="432"/>
      <c r="I1" s="432"/>
      <c r="J1" s="432"/>
      <c r="K1" s="432"/>
      <c r="L1" s="432"/>
      <c r="M1" s="432"/>
      <c r="N1" s="432"/>
      <c r="O1" s="432"/>
      <c r="P1" s="432"/>
      <c r="Q1" s="52"/>
    </row>
    <row r="2" spans="1:59" ht="18" customHeight="1" x14ac:dyDescent="0.2">
      <c r="A2" s="433" t="s">
        <v>51</v>
      </c>
      <c r="B2" s="433"/>
      <c r="C2" s="433"/>
      <c r="D2" s="433"/>
      <c r="E2" s="433"/>
      <c r="F2" s="433"/>
      <c r="G2" s="433"/>
      <c r="H2" s="433"/>
      <c r="I2" s="433"/>
      <c r="J2" s="433"/>
      <c r="K2" s="433"/>
      <c r="L2" s="433"/>
      <c r="M2" s="433"/>
      <c r="N2" s="433"/>
      <c r="O2" s="433"/>
      <c r="P2" s="433"/>
    </row>
    <row r="3" spans="1:59" ht="18" x14ac:dyDescent="0.25">
      <c r="A3" s="433"/>
      <c r="B3" s="433"/>
      <c r="C3" s="433"/>
      <c r="D3" s="433"/>
      <c r="E3" s="433"/>
      <c r="F3" s="433"/>
      <c r="G3" s="433"/>
      <c r="H3" s="433"/>
      <c r="I3" s="433"/>
      <c r="J3" s="433"/>
      <c r="K3" s="433"/>
      <c r="L3" s="433"/>
      <c r="M3" s="433"/>
      <c r="N3" s="433"/>
      <c r="O3" s="433"/>
      <c r="P3" s="433"/>
      <c r="Q3" s="53"/>
    </row>
    <row r="4" spans="1:59"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46051</v>
      </c>
      <c r="B6" s="435" t="s">
        <v>52</v>
      </c>
      <c r="C6" s="435"/>
      <c r="D6" s="435"/>
      <c r="E6" s="435"/>
      <c r="F6" s="435"/>
      <c r="G6" s="435"/>
      <c r="H6" s="435"/>
      <c r="I6" s="435"/>
      <c r="J6" s="435"/>
      <c r="K6" s="435"/>
      <c r="L6" s="435"/>
      <c r="M6" s="435"/>
      <c r="N6" s="435"/>
      <c r="O6" s="435"/>
    </row>
    <row r="7" spans="1:59" x14ac:dyDescent="0.2">
      <c r="A7" s="436" t="s">
        <v>2</v>
      </c>
      <c r="B7" s="436"/>
      <c r="C7" s="436"/>
      <c r="D7" s="436"/>
      <c r="E7" s="436"/>
      <c r="F7" s="436"/>
      <c r="G7" s="436"/>
      <c r="H7" s="436"/>
      <c r="I7" s="436"/>
      <c r="J7" s="436"/>
      <c r="K7" s="436"/>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2</v>
      </c>
      <c r="C11" s="63" t="str">
        <f>LOOKUP($B$11,$S$11:$AD$11,S12:AD12)</f>
        <v>February</v>
      </c>
      <c r="D11" s="64">
        <f>'Customer Info'!C9</f>
        <v>2026</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7" t="s">
        <v>71</v>
      </c>
      <c r="H23" s="438"/>
      <c r="I23" s="438"/>
      <c r="J23" s="439"/>
      <c r="K23" s="83"/>
      <c r="L23" s="440" t="s">
        <v>72</v>
      </c>
      <c r="M23" s="441"/>
      <c r="N23" s="441"/>
      <c r="O23" s="442"/>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5.5215000000000004E-3</v>
      </c>
      <c r="J31" s="100">
        <f t="shared" ref="J31:J37" si="0">SUM(G31:I31)</f>
        <v>5.5215000000000004E-3</v>
      </c>
      <c r="K31" s="94" t="s">
        <v>85</v>
      </c>
      <c r="L31" s="89"/>
      <c r="M31" s="89"/>
      <c r="N31" s="89">
        <f t="shared" ref="N31:N36" si="1">ROUND(D31*I31,2)</f>
        <v>0</v>
      </c>
      <c r="O31" s="91">
        <f t="shared" ref="O31:O52" si="2">SUM(L31:N31)</f>
        <v>0</v>
      </c>
      <c r="P31" s="92">
        <f>'Rider Rates'!$D$4</f>
        <v>46022</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46022</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90</v>
      </c>
      <c r="B36" s="72"/>
      <c r="C36" s="72"/>
      <c r="D36" s="111">
        <f>IF($D$17&lt;0,0,$D$17)</f>
        <v>0</v>
      </c>
      <c r="E36" s="97" t="s">
        <v>19</v>
      </c>
      <c r="F36" s="84" t="s">
        <v>80</v>
      </c>
      <c r="G36" s="100"/>
      <c r="H36" s="100"/>
      <c r="I36" s="100">
        <f>'Rider Rates'!B15</f>
        <v>0</v>
      </c>
      <c r="J36" s="100">
        <f t="shared" si="0"/>
        <v>0</v>
      </c>
      <c r="K36" s="94" t="s">
        <v>85</v>
      </c>
      <c r="L36" s="89"/>
      <c r="M36" s="89"/>
      <c r="N36" s="89">
        <f t="shared" si="1"/>
        <v>0</v>
      </c>
      <c r="O36" s="89">
        <f t="shared" ref="O36:O42" si="3">SUM(L36:N36)</f>
        <v>0</v>
      </c>
      <c r="P36" s="92">
        <f>'Rider Rates'!$D$15</f>
        <v>45716</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2" t="s">
        <v>91</v>
      </c>
      <c r="B37" s="72"/>
      <c r="C37" s="72"/>
      <c r="D37" s="113">
        <f>$N$27</f>
        <v>10</v>
      </c>
      <c r="E37" s="97" t="s">
        <v>92</v>
      </c>
      <c r="F37" s="84" t="s">
        <v>80</v>
      </c>
      <c r="G37" s="100"/>
      <c r="H37" s="100"/>
      <c r="I37" s="114">
        <f>'Rider Rates'!$B$18</f>
        <v>0</v>
      </c>
      <c r="J37" s="114">
        <f t="shared" si="0"/>
        <v>0</v>
      </c>
      <c r="K37" s="94"/>
      <c r="L37" s="89"/>
      <c r="M37" s="89"/>
      <c r="N37" s="89">
        <f>ROUND($D$37*'Rider Rates'!$B$18,2)+ROUND($D$37*'Rider Rates'!$E$18,2)</f>
        <v>0</v>
      </c>
      <c r="O37" s="89">
        <f t="shared" si="3"/>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93</v>
      </c>
      <c r="B38" s="72"/>
      <c r="C38" s="72"/>
      <c r="D38" s="111">
        <f>'Customer Info'!$B$22+'Customer Info'!$B$23-'Customer Info'!$B$24</f>
        <v>0</v>
      </c>
      <c r="E38" s="97" t="s">
        <v>19</v>
      </c>
      <c r="F38" s="84" t="s">
        <v>80</v>
      </c>
      <c r="G38" s="100">
        <f>'Rider Rates'!$B$21</f>
        <v>7.6880000000000004E-2</v>
      </c>
      <c r="H38" s="100"/>
      <c r="I38" s="100"/>
      <c r="J38" s="115">
        <f>SUM(G38:H38)</f>
        <v>7.6880000000000004E-2</v>
      </c>
      <c r="K38" s="94" t="s">
        <v>85</v>
      </c>
      <c r="L38" s="89">
        <f>ROUND(D38*G38,2)</f>
        <v>0</v>
      </c>
      <c r="M38" s="89"/>
      <c r="N38" s="89"/>
      <c r="O38" s="89">
        <f t="shared" si="3"/>
        <v>0</v>
      </c>
      <c r="P38" s="92">
        <f>'Rider Rates'!$D$21</f>
        <v>45809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94</v>
      </c>
      <c r="B39" s="72"/>
      <c r="C39" s="72"/>
      <c r="D39" s="111">
        <f>'Customer Info'!$B$22+'Customer Info'!$B$23-'Customer Info'!$B$24</f>
        <v>0</v>
      </c>
      <c r="E39" s="97" t="s">
        <v>19</v>
      </c>
      <c r="F39" s="84" t="s">
        <v>80</v>
      </c>
      <c r="G39" s="100">
        <f>'Rider Rates'!$B$28</f>
        <v>2.298E-2</v>
      </c>
      <c r="H39" s="100"/>
      <c r="I39" s="100"/>
      <c r="J39" s="115">
        <f>SUM(G39:H39)</f>
        <v>2.298E-2</v>
      </c>
      <c r="K39" s="94" t="s">
        <v>85</v>
      </c>
      <c r="L39" s="90">
        <f>ROUND($D$39*$G$39,2)</f>
        <v>0</v>
      </c>
      <c r="M39" s="89"/>
      <c r="N39" s="89"/>
      <c r="O39" s="89">
        <f>SUM(L39:N39)</f>
        <v>0</v>
      </c>
      <c r="P39" s="92">
        <f>'Rider Rates'!$D$28</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95</v>
      </c>
      <c r="B40" s="72"/>
      <c r="C40" s="72"/>
      <c r="D40" s="111">
        <f>'Customer Info'!$B$22+'Customer Info'!$B$23-'Customer Info'!$B$24</f>
        <v>0</v>
      </c>
      <c r="E40" s="97" t="s">
        <v>19</v>
      </c>
      <c r="F40" s="84" t="s">
        <v>80</v>
      </c>
      <c r="G40" s="100">
        <f>'Rider Rates'!$B$49</f>
        <v>2.7588999999999999E-3</v>
      </c>
      <c r="H40" s="100"/>
      <c r="I40" s="100"/>
      <c r="J40" s="115">
        <f>SUM(G40:H40)</f>
        <v>2.7588999999999999E-3</v>
      </c>
      <c r="K40" s="94" t="s">
        <v>85</v>
      </c>
      <c r="L40" s="89">
        <f>ROUND(D40*G40,2)</f>
        <v>0</v>
      </c>
      <c r="M40" s="89"/>
      <c r="N40" s="89"/>
      <c r="O40" s="89">
        <f t="shared" si="3"/>
        <v>0</v>
      </c>
      <c r="P40" s="92">
        <f>'Rider Rates'!$D$49</f>
        <v>46022</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2" t="s">
        <v>96</v>
      </c>
      <c r="B41" s="72"/>
      <c r="C41" s="72"/>
      <c r="D41" s="111"/>
      <c r="E41" s="97" t="s">
        <v>55</v>
      </c>
      <c r="F41" s="84"/>
      <c r="G41" s="100"/>
      <c r="H41" s="100"/>
      <c r="I41" s="100">
        <f>'Rider Rates'!D52</f>
        <v>0</v>
      </c>
      <c r="J41" s="115">
        <f t="shared" ref="J41:J47" si="4">SUM(G41:I41)</f>
        <v>0</v>
      </c>
      <c r="K41" s="94"/>
      <c r="L41" s="89"/>
      <c r="M41" s="89"/>
      <c r="N41" s="89">
        <f>J41</f>
        <v>0</v>
      </c>
      <c r="O41" s="89">
        <f>SUM(L41:N41)</f>
        <v>0</v>
      </c>
      <c r="P41" s="92">
        <f>'Rider Rates'!E52</f>
        <v>45883</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97</v>
      </c>
      <c r="B42" s="72"/>
      <c r="C42" s="72"/>
      <c r="D42" s="111">
        <f>IF($D$17&lt;0,0,$D$17)</f>
        <v>0</v>
      </c>
      <c r="E42" s="97" t="s">
        <v>19</v>
      </c>
      <c r="F42" s="84" t="s">
        <v>80</v>
      </c>
      <c r="G42" s="100"/>
      <c r="H42" s="100">
        <f>'Rider Rates'!$B$57</f>
        <v>3.55042E-2</v>
      </c>
      <c r="I42" s="100"/>
      <c r="J42" s="100">
        <f t="shared" si="4"/>
        <v>3.55042E-2</v>
      </c>
      <c r="K42" s="94" t="s">
        <v>85</v>
      </c>
      <c r="L42" s="89"/>
      <c r="M42" s="89">
        <f>ROUND(D42*H42,2)</f>
        <v>0</v>
      </c>
      <c r="N42" s="116"/>
      <c r="O42" s="89">
        <f t="shared" si="3"/>
        <v>0</v>
      </c>
      <c r="P42" s="92">
        <f>'Rider Rates'!$D$57</f>
        <v>45929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98</v>
      </c>
      <c r="B43" s="72"/>
      <c r="C43" s="72"/>
      <c r="D43" s="111">
        <f>IF($D$17&lt;0,0,$D$17)</f>
        <v>0</v>
      </c>
      <c r="E43" s="97" t="s">
        <v>19</v>
      </c>
      <c r="F43" s="84" t="s">
        <v>80</v>
      </c>
      <c r="G43" s="100"/>
      <c r="H43" s="100"/>
      <c r="I43" s="100">
        <f>'Rider Rates'!$B$68</f>
        <v>7.3870000000000001E-4</v>
      </c>
      <c r="J43" s="100">
        <f t="shared" ref="J43" si="5">SUM(G43:I43)</f>
        <v>7.3870000000000001E-4</v>
      </c>
      <c r="K43" s="94" t="s">
        <v>85</v>
      </c>
      <c r="L43" s="89"/>
      <c r="M43" s="89"/>
      <c r="N43" s="89">
        <f>ROUND($D$43*'Rider Rates'!$B$68,2)</f>
        <v>0</v>
      </c>
      <c r="O43" s="91">
        <f>SUM(L43:N43)</f>
        <v>0</v>
      </c>
      <c r="P43" s="92">
        <f>'Rider Rates'!$D$68</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99</v>
      </c>
      <c r="B44" s="72"/>
      <c r="C44" s="72"/>
      <c r="D44" s="111">
        <f>IF('Customer Info'!C35=TRUE,0,IF($D$17&lt;0,0,$D$17))</f>
        <v>0</v>
      </c>
      <c r="E44" s="97" t="s">
        <v>19</v>
      </c>
      <c r="F44" s="84" t="s">
        <v>80</v>
      </c>
      <c r="G44" s="100"/>
      <c r="H44" s="100"/>
      <c r="I44" s="100">
        <f>'Rider Rates'!$B$71+'Rider Rates'!$C$71</f>
        <v>0</v>
      </c>
      <c r="J44" s="100">
        <f t="shared" si="4"/>
        <v>0</v>
      </c>
      <c r="K44" s="94" t="s">
        <v>85</v>
      </c>
      <c r="L44" s="89"/>
      <c r="M44" s="89"/>
      <c r="N44" s="89">
        <f>ROUND($D$44*'Rider Rates'!$B$71,2)+ROUND($D$44*'Rider Rates'!$C$71,2)</f>
        <v>0</v>
      </c>
      <c r="O44" s="91">
        <f t="shared" si="2"/>
        <v>0</v>
      </c>
      <c r="P44" s="92">
        <f>'Rider Rates'!$D$71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100</v>
      </c>
      <c r="B45" s="72"/>
      <c r="C45" s="72"/>
      <c r="D45" s="113">
        <f>$N$27</f>
        <v>10</v>
      </c>
      <c r="E45" s="97" t="s">
        <v>92</v>
      </c>
      <c r="F45" s="84" t="s">
        <v>80</v>
      </c>
      <c r="G45" s="117"/>
      <c r="H45" s="118"/>
      <c r="I45" s="119">
        <f>'Rider Rates'!$B$87</f>
        <v>3.5344300000000002E-2</v>
      </c>
      <c r="J45" s="119">
        <f t="shared" si="4"/>
        <v>3.5344300000000002E-2</v>
      </c>
      <c r="K45" s="94"/>
      <c r="L45" s="89"/>
      <c r="M45" s="89"/>
      <c r="N45" s="89">
        <f>ROUND(D45*I45,2)</f>
        <v>0.35</v>
      </c>
      <c r="O45" s="89">
        <f t="shared" si="2"/>
        <v>0.35</v>
      </c>
      <c r="P45" s="92">
        <f>'Rider Rates'!$D$87</f>
        <v>45929</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101</v>
      </c>
      <c r="B46" s="72"/>
      <c r="C46" s="72"/>
      <c r="D46" s="113">
        <f>$N$27</f>
        <v>10</v>
      </c>
      <c r="E46" s="97" t="s">
        <v>92</v>
      </c>
      <c r="F46" s="84" t="s">
        <v>80</v>
      </c>
      <c r="G46" s="120"/>
      <c r="H46" s="85"/>
      <c r="I46" s="119">
        <f>'Rider Rates'!$B$89</f>
        <v>7.8822199999999995E-2</v>
      </c>
      <c r="J46" s="119">
        <f t="shared" si="4"/>
        <v>7.8822199999999995E-2</v>
      </c>
      <c r="K46" s="94"/>
      <c r="L46" s="89"/>
      <c r="M46" s="89"/>
      <c r="N46" s="89">
        <f>ROUND(D46*I46,2)</f>
        <v>0.79</v>
      </c>
      <c r="O46" s="89">
        <f t="shared" si="2"/>
        <v>0.79</v>
      </c>
      <c r="P46" s="92">
        <f>'Rider Rates'!$D$89</f>
        <v>45987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102</v>
      </c>
      <c r="B47" s="72"/>
      <c r="C47" s="72"/>
      <c r="D47" s="113"/>
      <c r="E47" s="97" t="s">
        <v>55</v>
      </c>
      <c r="F47" s="84"/>
      <c r="G47" s="120"/>
      <c r="H47" s="85"/>
      <c r="I47" s="121">
        <f>'Rider Rates'!$B$92</f>
        <v>2.62</v>
      </c>
      <c r="J47" s="121">
        <f t="shared" si="4"/>
        <v>2.62</v>
      </c>
      <c r="K47" s="94"/>
      <c r="L47" s="89"/>
      <c r="M47" s="89"/>
      <c r="N47" s="89">
        <f>I47</f>
        <v>2.62</v>
      </c>
      <c r="O47" s="91">
        <f>SUM(L47:N47)</f>
        <v>2.62</v>
      </c>
      <c r="P47" s="92">
        <f>'Rider Rates'!$D$92</f>
        <v>46022</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103</v>
      </c>
      <c r="B48" s="72"/>
      <c r="C48" s="72"/>
      <c r="D48" s="111">
        <f>IF($D$17&lt;0,0,$D$17)</f>
        <v>0</v>
      </c>
      <c r="E48" s="97" t="s">
        <v>19</v>
      </c>
      <c r="F48" s="84" t="s">
        <v>80</v>
      </c>
      <c r="G48" s="100"/>
      <c r="H48" s="100"/>
      <c r="I48" s="100"/>
      <c r="J48" s="100">
        <f>'Rider Rates'!$B$96</f>
        <v>0</v>
      </c>
      <c r="K48" s="94" t="s">
        <v>85</v>
      </c>
      <c r="L48" s="89"/>
      <c r="M48" s="89"/>
      <c r="N48" s="89"/>
      <c r="O48" s="89">
        <f>ROUND($D48*('Rider Rates'!B$96),2)</f>
        <v>0</v>
      </c>
      <c r="P48" s="92">
        <f>'Rider Rates'!$D$96</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104</v>
      </c>
      <c r="B49" s="72"/>
      <c r="C49" s="72"/>
      <c r="D49" s="113">
        <f>$N$27</f>
        <v>10</v>
      </c>
      <c r="E49" s="97" t="s">
        <v>92</v>
      </c>
      <c r="F49" s="84" t="s">
        <v>80</v>
      </c>
      <c r="G49" s="120"/>
      <c r="H49" s="85"/>
      <c r="I49" s="119">
        <f>'Rider Rates'!$B$107</f>
        <v>0.24079249999999999</v>
      </c>
      <c r="J49" s="122">
        <f>SUM(G49:I49)</f>
        <v>0.24079249999999999</v>
      </c>
      <c r="K49" s="94"/>
      <c r="L49" s="89"/>
      <c r="M49" s="89"/>
      <c r="N49" s="89">
        <f>ROUND(D49*I49,2)</f>
        <v>2.41</v>
      </c>
      <c r="O49" s="89">
        <f t="shared" si="2"/>
        <v>2.41</v>
      </c>
      <c r="P49" s="92">
        <f>'Rider Rates'!$D$107</f>
        <v>45987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105</v>
      </c>
      <c r="B50" s="72"/>
      <c r="C50" s="72"/>
      <c r="D50" s="113"/>
      <c r="E50" s="97" t="s">
        <v>55</v>
      </c>
      <c r="F50" s="84"/>
      <c r="G50" s="120"/>
      <c r="H50" s="85"/>
      <c r="I50" s="123">
        <f>'Rider Rates'!B122</f>
        <v>0.2</v>
      </c>
      <c r="J50" s="124">
        <f>SUM(G50:I50)</f>
        <v>0.2</v>
      </c>
      <c r="K50" s="94"/>
      <c r="L50" s="89"/>
      <c r="M50" s="89"/>
      <c r="N50" s="125">
        <f>I50</f>
        <v>0.2</v>
      </c>
      <c r="O50" s="89">
        <f>SUM(L50:N50)</f>
        <v>0.2</v>
      </c>
      <c r="P50" s="92">
        <f>'Rider Rates'!D122</f>
        <v>45958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106</v>
      </c>
      <c r="B51" s="72"/>
      <c r="C51" s="72"/>
      <c r="D51" s="111">
        <f>'Customer Info'!$B$22+'Customer Info'!$B$23-'Customer Info'!$B$24</f>
        <v>0</v>
      </c>
      <c r="E51" s="97" t="s">
        <v>19</v>
      </c>
      <c r="F51" s="84" t="s">
        <v>80</v>
      </c>
      <c r="G51" s="100">
        <f>'Rider Rates'!$B$113</f>
        <v>3.8972999999999998E-3</v>
      </c>
      <c r="H51" s="100"/>
      <c r="I51" s="100"/>
      <c r="J51" s="115">
        <f>SUM(G51:H51)</f>
        <v>3.8972999999999998E-3</v>
      </c>
      <c r="K51" s="94" t="s">
        <v>85</v>
      </c>
      <c r="L51" s="89">
        <f>ROUND(D51*G51,2)</f>
        <v>0</v>
      </c>
      <c r="M51" s="89"/>
      <c r="N51" s="89"/>
      <c r="O51" s="89">
        <f t="shared" si="2"/>
        <v>0</v>
      </c>
      <c r="P51" s="92">
        <f>'Rider Rates'!$D$113</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107</v>
      </c>
      <c r="B52" s="72"/>
      <c r="C52" s="72"/>
      <c r="D52" s="111">
        <f>IF($D$17&lt;1,0,$D$17)</f>
        <v>0</v>
      </c>
      <c r="E52" s="97" t="s">
        <v>19</v>
      </c>
      <c r="F52" s="126" t="s">
        <v>80</v>
      </c>
      <c r="G52" s="100"/>
      <c r="H52" s="100"/>
      <c r="I52" s="100">
        <f>'Rider Rates'!$B$118</f>
        <v>0</v>
      </c>
      <c r="J52" s="115">
        <f>SUM(G52:I52)</f>
        <v>0</v>
      </c>
      <c r="K52" s="94" t="s">
        <v>85</v>
      </c>
      <c r="L52" s="89"/>
      <c r="M52" s="89"/>
      <c r="N52" s="89">
        <f>D52*J52</f>
        <v>0</v>
      </c>
      <c r="O52" s="89">
        <f t="shared" si="2"/>
        <v>0</v>
      </c>
      <c r="P52" s="92">
        <f>'Rider Rates'!D118</f>
        <v>45657</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108</v>
      </c>
      <c r="B53" s="72"/>
      <c r="C53" s="72"/>
      <c r="D53" s="111"/>
      <c r="E53" s="97" t="s">
        <v>55</v>
      </c>
      <c r="F53" s="84" t="s">
        <v>80</v>
      </c>
      <c r="G53" s="127"/>
      <c r="H53" s="127"/>
      <c r="I53" s="127">
        <f>'Rider Rates'!$B$126</f>
        <v>0</v>
      </c>
      <c r="J53" s="127">
        <f>SUM(G53:I53)</f>
        <v>0</v>
      </c>
      <c r="K53" s="94"/>
      <c r="L53" s="128"/>
      <c r="M53" s="128"/>
      <c r="N53" s="128">
        <f>J53</f>
        <v>0</v>
      </c>
      <c r="O53" s="128">
        <f>SUM(L53:N53)</f>
        <v>0</v>
      </c>
      <c r="P53" s="129">
        <f>'Rider Rates'!E126</f>
        <v>45883</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109</v>
      </c>
      <c r="B54" s="72"/>
      <c r="C54" s="72"/>
      <c r="D54" s="111">
        <f>D17</f>
        <v>0</v>
      </c>
      <c r="E54" s="97" t="s">
        <v>19</v>
      </c>
      <c r="F54" s="126" t="s">
        <v>80</v>
      </c>
      <c r="G54" s="100"/>
      <c r="H54" s="100"/>
      <c r="I54" s="100">
        <f>'Rider Rates'!B131</f>
        <v>0</v>
      </c>
      <c r="J54" s="115">
        <f>SUM(G54:I54)</f>
        <v>0</v>
      </c>
      <c r="K54" s="94" t="s">
        <v>85</v>
      </c>
      <c r="L54" s="89"/>
      <c r="M54" s="89"/>
      <c r="N54" s="89">
        <f>D54*J54</f>
        <v>0</v>
      </c>
      <c r="O54" s="89">
        <f>SUM(L54:N54)</f>
        <v>0</v>
      </c>
      <c r="P54" s="92">
        <f>'Rider Rates'!D131</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110</v>
      </c>
      <c r="B55" s="72"/>
      <c r="C55" s="72"/>
      <c r="D55" s="111"/>
      <c r="E55" s="97" t="s">
        <v>55</v>
      </c>
      <c r="F55" s="84" t="s">
        <v>80</v>
      </c>
      <c r="G55" s="127"/>
      <c r="H55" s="127"/>
      <c r="I55" s="127">
        <f>'Rider Rates'!$B$138</f>
        <v>0</v>
      </c>
      <c r="J55" s="127">
        <f>SUM(G55:I55)</f>
        <v>0</v>
      </c>
      <c r="K55" s="94"/>
      <c r="L55" s="128"/>
      <c r="M55" s="128"/>
      <c r="N55" s="128">
        <f>J55</f>
        <v>0</v>
      </c>
      <c r="O55" s="128">
        <f>SUM(L55:N55)</f>
        <v>0</v>
      </c>
      <c r="P55" s="129">
        <f>'Rider Rates'!D138</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111</v>
      </c>
      <c r="B56" s="72"/>
      <c r="C56" s="72"/>
      <c r="D56" s="111"/>
      <c r="E56" s="97"/>
      <c r="F56" s="84"/>
      <c r="G56" s="127"/>
      <c r="H56" s="127"/>
      <c r="I56" s="127"/>
      <c r="J56" s="127"/>
      <c r="K56" s="94"/>
      <c r="L56" s="128"/>
      <c r="M56" s="128"/>
      <c r="N56" s="128"/>
      <c r="O56" s="128"/>
      <c r="P56" s="129"/>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30" t="s">
        <v>112</v>
      </c>
      <c r="B57" s="69"/>
      <c r="C57" s="69"/>
      <c r="D57" s="131"/>
      <c r="E57" s="132"/>
      <c r="F57" s="133"/>
      <c r="G57" s="133"/>
      <c r="H57" s="133"/>
      <c r="I57" s="133"/>
      <c r="J57" s="133"/>
      <c r="K57" s="134"/>
      <c r="L57" s="105">
        <f>SUM(L31:L56)</f>
        <v>0</v>
      </c>
      <c r="M57" s="105">
        <f>SUM(M31:M56)</f>
        <v>0</v>
      </c>
      <c r="N57" s="105">
        <f>SUM(N31:N56)</f>
        <v>6.37</v>
      </c>
      <c r="O57" s="105">
        <f>SUM(O31:O56)</f>
        <v>6.37</v>
      </c>
      <c r="P57" s="135"/>
      <c r="Q57" s="84"/>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c r="B58" s="72"/>
      <c r="C58" s="72"/>
      <c r="D58" s="111"/>
      <c r="E58" s="97"/>
      <c r="F58" s="84"/>
      <c r="G58" s="84"/>
      <c r="H58" s="84"/>
      <c r="I58" s="84"/>
      <c r="J58" s="101"/>
      <c r="K58" s="94"/>
      <c r="L58" s="84"/>
      <c r="M58" s="84"/>
      <c r="N58" s="84"/>
      <c r="O58" s="84"/>
      <c r="P58" s="137"/>
      <c r="Q58" s="84"/>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138" t="s">
        <v>113</v>
      </c>
      <c r="B59" s="106"/>
      <c r="C59" s="106"/>
      <c r="D59" s="106"/>
      <c r="E59" s="106"/>
      <c r="F59" s="106"/>
      <c r="G59" s="106"/>
      <c r="H59" s="106"/>
      <c r="I59" s="106"/>
      <c r="J59" s="106"/>
      <c r="K59" s="106"/>
      <c r="L59" s="139">
        <f>L27+L57</f>
        <v>0</v>
      </c>
      <c r="M59" s="139">
        <f>M27+M57</f>
        <v>0</v>
      </c>
      <c r="N59" s="139">
        <f>N27+N57</f>
        <v>16.37</v>
      </c>
      <c r="O59" s="140">
        <f>O27+O57</f>
        <v>16.37</v>
      </c>
      <c r="P59" s="140"/>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c r="B60" s="72"/>
      <c r="C60" s="72"/>
      <c r="D60" s="72"/>
      <c r="E60" s="72"/>
      <c r="F60" s="72"/>
      <c r="G60" s="72"/>
      <c r="H60" s="72"/>
      <c r="I60" s="72"/>
      <c r="J60" s="72"/>
      <c r="K60" s="72"/>
      <c r="L60" s="72"/>
      <c r="M60" s="72"/>
      <c r="N60" s="72"/>
      <c r="O60" s="72"/>
      <c r="P60" s="72"/>
      <c r="Q60" s="10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02" t="s">
        <v>114</v>
      </c>
      <c r="B62" s="72"/>
      <c r="C62" s="72"/>
      <c r="D62" s="72"/>
      <c r="E62" s="72"/>
      <c r="F62" s="72"/>
      <c r="G62" s="72"/>
      <c r="H62" s="72"/>
      <c r="I62" s="72"/>
      <c r="J62" s="72"/>
      <c r="K62" s="72"/>
      <c r="L62" s="72"/>
      <c r="M62" s="72"/>
      <c r="N62" s="72"/>
      <c r="O62" s="95">
        <f>IF(D17&lt;0,MIN(O25,O59),O25)</f>
        <v>10</v>
      </c>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2</v>
      </c>
      <c r="B63" s="102"/>
      <c r="C63" s="102"/>
      <c r="D63" s="102"/>
      <c r="E63" s="102"/>
      <c r="F63" s="102"/>
      <c r="G63" s="102"/>
      <c r="H63" s="102"/>
      <c r="I63" s="72"/>
      <c r="J63" s="72"/>
      <c r="K63" s="72"/>
      <c r="L63" s="72"/>
      <c r="M63" s="72"/>
      <c r="N63" s="72"/>
      <c r="O63" s="72"/>
      <c r="P63" s="72"/>
      <c r="Q63" s="72"/>
      <c r="R63" s="101"/>
      <c r="S63" s="94"/>
      <c r="T63" s="95"/>
      <c r="U63" s="72"/>
      <c r="V63" s="96"/>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69" t="s">
        <v>115</v>
      </c>
      <c r="B64" s="72"/>
      <c r="C64" s="72"/>
      <c r="D64" s="72"/>
      <c r="E64" s="72"/>
      <c r="F64" s="72"/>
      <c r="G64" s="72"/>
      <c r="H64" s="72"/>
      <c r="I64" s="72"/>
      <c r="J64" s="72"/>
      <c r="K64" s="72"/>
      <c r="L64" s="72"/>
      <c r="M64" s="72"/>
      <c r="N64" s="72"/>
      <c r="O64" s="141">
        <f>IF($D$17&lt;0,O59,IF(O59&gt;O62,O59,O62))</f>
        <v>16.37</v>
      </c>
      <c r="P64" s="84"/>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c r="B65" s="72"/>
      <c r="C65" s="72"/>
      <c r="D65" s="72"/>
      <c r="E65" s="72"/>
      <c r="F65" s="72"/>
      <c r="G65" s="72"/>
      <c r="H65" s="72"/>
      <c r="I65" s="72"/>
      <c r="J65" s="72"/>
      <c r="K65" s="72"/>
      <c r="L65" s="72"/>
      <c r="M65" s="72"/>
      <c r="N65" s="72"/>
      <c r="O65" s="142"/>
      <c r="P65" s="84"/>
      <c r="Q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102"/>
      <c r="C66" s="102"/>
      <c r="D66" s="102"/>
      <c r="E66" s="102"/>
      <c r="F66" s="102"/>
      <c r="G66" s="102"/>
      <c r="H66" s="102"/>
      <c r="I66" s="102" t="s">
        <v>116</v>
      </c>
      <c r="J66" s="102"/>
      <c r="K66" s="102"/>
      <c r="L66" s="143"/>
      <c r="M66" s="143"/>
      <c r="N66" s="143"/>
      <c r="O66" s="143">
        <f>ROUND(IF($D$17&lt;1,0,O59/($D$17*100)*10000),2)</f>
        <v>0</v>
      </c>
      <c r="P66" s="144" t="s">
        <v>117</v>
      </c>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c r="HN66" s="72"/>
      <c r="HO66" s="72"/>
      <c r="HP66" s="72"/>
      <c r="HQ66" s="72"/>
      <c r="HR66" s="72"/>
      <c r="HS66" s="72"/>
      <c r="HT66" s="72"/>
      <c r="HU66" s="72"/>
      <c r="HV66" s="72"/>
      <c r="HW66" s="72"/>
      <c r="HX66" s="72"/>
      <c r="HY66" s="72"/>
      <c r="HZ66" s="72"/>
      <c r="IA66" s="72"/>
      <c r="IB66" s="72"/>
    </row>
    <row r="67" spans="1:236" x14ac:dyDescent="0.2">
      <c r="A67" s="144"/>
      <c r="B67" s="72"/>
      <c r="C67" s="72"/>
      <c r="D67" s="72"/>
      <c r="E67" s="72"/>
      <c r="F67" s="72"/>
      <c r="G67" s="72"/>
      <c r="H67" s="145"/>
      <c r="I67" s="146" t="s">
        <v>118</v>
      </c>
      <c r="J67" s="72"/>
      <c r="K67" s="72"/>
      <c r="L67" s="72"/>
      <c r="M67" s="72"/>
      <c r="N67" s="72"/>
      <c r="O67" s="147">
        <f>ROUND(IF($D$17&lt;1,0,(L59)/($D$17*100)*10000),2)</f>
        <v>0</v>
      </c>
      <c r="P67" s="59" t="s">
        <v>117</v>
      </c>
      <c r="Q67" s="72"/>
      <c r="AE67" s="72"/>
      <c r="AF67" s="72"/>
      <c r="AG67" s="72"/>
      <c r="AH67" s="72"/>
      <c r="AI67" s="72"/>
      <c r="AJ67" s="72"/>
      <c r="AK67" s="72"/>
      <c r="AL67" s="72"/>
      <c r="AM67" s="72"/>
      <c r="AN67" s="72"/>
      <c r="AO67" s="72"/>
      <c r="AP67" s="72"/>
      <c r="AQ67" s="72"/>
      <c r="AR67" s="72"/>
      <c r="AS67" s="72"/>
      <c r="AT67" s="72"/>
      <c r="HE67" s="72"/>
      <c r="HF67" s="72"/>
      <c r="HG67" s="72"/>
      <c r="HH67" s="72"/>
      <c r="HI67" s="72"/>
      <c r="HJ67" s="72"/>
      <c r="HK67" s="72"/>
      <c r="HL67" s="72"/>
      <c r="HM67" s="72"/>
      <c r="HN67" s="72"/>
    </row>
    <row r="68" spans="1:236" x14ac:dyDescent="0.2">
      <c r="A68" s="76"/>
      <c r="B68" s="72"/>
      <c r="C68" s="72"/>
      <c r="D68" s="111"/>
      <c r="E68" s="97"/>
      <c r="F68" s="84"/>
      <c r="G68" s="64"/>
      <c r="H68" s="148"/>
      <c r="I68" s="64"/>
      <c r="J68" s="59"/>
      <c r="K68" s="59"/>
      <c r="L68" s="149"/>
      <c r="M68" s="149"/>
      <c r="N68" s="149"/>
      <c r="O68" s="150"/>
      <c r="Q68" s="151"/>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2"/>
      <c r="GM68" s="72"/>
      <c r="GN68" s="72"/>
      <c r="GO68" s="72"/>
      <c r="GP68" s="72"/>
      <c r="GQ68" s="72"/>
      <c r="GR68" s="72"/>
      <c r="GS68" s="72"/>
      <c r="GT68" s="72"/>
      <c r="GU68" s="72"/>
      <c r="GV68" s="72"/>
      <c r="GW68" s="72"/>
      <c r="GX68" s="72"/>
      <c r="GY68" s="72"/>
      <c r="GZ68" s="72"/>
      <c r="HA68" s="72"/>
      <c r="HB68" s="72"/>
      <c r="HC68" s="72"/>
      <c r="HD68" s="72"/>
      <c r="HE68" s="72"/>
      <c r="HF68" s="72"/>
      <c r="HG68" s="72"/>
      <c r="HH68" s="72"/>
      <c r="HI68" s="72"/>
      <c r="HJ68" s="72"/>
      <c r="HK68" s="72"/>
      <c r="HL68" s="72"/>
      <c r="HM68" s="72"/>
    </row>
    <row r="69" spans="1:236" x14ac:dyDescent="0.2">
      <c r="A69" s="76"/>
      <c r="B69" s="72"/>
      <c r="C69" s="72"/>
      <c r="D69" s="111"/>
      <c r="E69" s="97"/>
      <c r="F69" s="84"/>
      <c r="Q69" s="151"/>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2"/>
      <c r="D70" s="4"/>
      <c r="E70" s="152"/>
      <c r="F70" s="84"/>
      <c r="Q70" s="151"/>
    </row>
    <row r="71" spans="1:236" x14ac:dyDescent="0.2">
      <c r="A71" s="153"/>
      <c r="D71" s="4"/>
      <c r="E71" s="152"/>
      <c r="F71" s="1"/>
      <c r="Q71" s="154"/>
    </row>
    <row r="72" spans="1:236" x14ac:dyDescent="0.2">
      <c r="A72" s="153"/>
      <c r="D72" s="4"/>
      <c r="E72" s="152"/>
      <c r="F72" s="1"/>
      <c r="Q72" s="154"/>
    </row>
    <row r="73" spans="1:236" x14ac:dyDescent="0.2">
      <c r="A73" s="155"/>
      <c r="B73" s="144"/>
      <c r="C73" s="144"/>
      <c r="D73" s="144"/>
      <c r="E73" s="144"/>
      <c r="F73" s="144"/>
    </row>
    <row r="74" spans="1:236" x14ac:dyDescent="0.2">
      <c r="B74" s="144"/>
      <c r="C74" s="144"/>
      <c r="D74" s="144"/>
      <c r="E74" s="144"/>
      <c r="F74" s="144"/>
      <c r="P74" s="144"/>
      <c r="Q74" s="144"/>
    </row>
    <row r="75" spans="1:236" x14ac:dyDescent="0.2">
      <c r="B75" s="144"/>
      <c r="C75" s="144"/>
      <c r="D75" s="144"/>
      <c r="E75" s="144"/>
      <c r="F75" s="144"/>
      <c r="P75" s="59"/>
      <c r="Q75" s="59"/>
    </row>
    <row r="78" spans="1:236" x14ac:dyDescent="0.2">
      <c r="A78" s="431"/>
    </row>
    <row r="79" spans="1:236" x14ac:dyDescent="0.2">
      <c r="A79" s="431"/>
    </row>
    <row r="80" spans="1:23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row r="89" spans="1:1" x14ac:dyDescent="0.2">
      <c r="A89" s="431"/>
    </row>
    <row r="90" spans="1:1" x14ac:dyDescent="0.2">
      <c r="A90" s="431"/>
    </row>
    <row r="91" spans="1:1" x14ac:dyDescent="0.2">
      <c r="A91" s="431"/>
    </row>
    <row r="92" spans="1:1" x14ac:dyDescent="0.2">
      <c r="A92" s="431"/>
    </row>
  </sheetData>
  <sheetProtection algorithmName="SHA-512" hashValue="Q9e3sIz96VK1gHrcrjtXbYMkVz5thlbhaVysR0vEK+bZGr3hJk1mOdS7qEg+LYIGnM6ADZeadl/DzQcvuxDPsA==" saltValue="P17Xju4UW6HYogkL6kfTdA==" spinCount="100000" sheet="1" objects="1" scenarios="1"/>
  <mergeCells count="8">
    <mergeCell ref="A78:A92"/>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50" r:id="rId5" name="Button 2">
              <controlPr defaultSize="0" print="0" autoFill="0" autoPict="0" macro="[0]!Info">
                <anchor moveWithCells="1">
                  <from>
                    <xdr:col>16</xdr:col>
                    <xdr:colOff>390525</xdr:colOff>
                    <xdr:row>85</xdr:row>
                    <xdr:rowOff>38100</xdr:rowOff>
                  </from>
                  <to>
                    <xdr:col>30</xdr:col>
                    <xdr:colOff>161925</xdr:colOff>
                    <xdr:row>86</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18F4-C598-4140-93BA-63259ED2EF90}">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227</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46051</v>
      </c>
      <c r="B6" s="76" t="s">
        <v>228</v>
      </c>
      <c r="C6" s="56"/>
      <c r="D6" s="56"/>
      <c r="E6" s="56"/>
      <c r="F6" s="56"/>
      <c r="G6" s="56"/>
      <c r="H6" s="56"/>
      <c r="I6" s="56"/>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2</v>
      </c>
      <c r="C10" s="63" t="str">
        <f>LOOKUP(B10,R10:AD10,R11:AD11)</f>
        <v>February</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$C$17*$C$20</f>
        <v>0</v>
      </c>
      <c r="E17" s="158" t="s">
        <v>204</v>
      </c>
      <c r="F17" s="160"/>
      <c r="K17" s="158"/>
      <c r="L17" s="158"/>
      <c r="M17" s="158"/>
      <c r="N17" s="158"/>
    </row>
    <row r="18" spans="1:30" x14ac:dyDescent="0.2">
      <c r="A18" s="158" t="s">
        <v>205</v>
      </c>
      <c r="B18" s="158"/>
      <c r="C18" s="206">
        <f>IF('Customer Info'!$B$19=0,0,ROUND(MAX(ROUND('Customer Info'!$B$19*'GS SEC OAD'!C20,1),ROUND('Customer Info'!$B$20*'GS SEC OAD'!C20,1))/'Customer Info'!$D$30,1))</f>
        <v>0</v>
      </c>
      <c r="D18" s="206">
        <f>$C$18</f>
        <v>0</v>
      </c>
      <c r="E18" s="158" t="s">
        <v>206</v>
      </c>
      <c r="F18" s="160"/>
      <c r="K18" s="158"/>
      <c r="L18" s="158"/>
      <c r="M18" s="158"/>
      <c r="N18" s="158"/>
    </row>
    <row r="19" spans="1:30" x14ac:dyDescent="0.2">
      <c r="A19" s="158" t="s">
        <v>207</v>
      </c>
      <c r="B19" s="158"/>
      <c r="C19" s="159"/>
      <c r="D19" s="206">
        <f>MAX(100,ROUND(1.15*(MAX('Customer Info'!$B$19*'GS SEC OAD'!C20,'Customer Info'!$B$20*'GS SEC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2" t="s">
        <v>2</v>
      </c>
      <c r="E21" s="452"/>
      <c r="F21" s="452"/>
      <c r="G21" s="452"/>
      <c r="H21" s="452"/>
      <c r="K21" s="158"/>
      <c r="L21" s="158"/>
      <c r="M21" s="158"/>
      <c r="N21" s="158"/>
      <c r="O21" s="188"/>
    </row>
    <row r="22" spans="1:30" x14ac:dyDescent="0.2">
      <c r="A22" s="158" t="s">
        <v>2</v>
      </c>
      <c r="B22" s="158"/>
      <c r="C22" s="210" t="s">
        <v>2</v>
      </c>
      <c r="D22" s="452" t="s">
        <v>2</v>
      </c>
      <c r="E22" s="452"/>
      <c r="F22" s="452"/>
      <c r="G22" s="452"/>
      <c r="H22" s="452"/>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4" t="s">
        <v>71</v>
      </c>
      <c r="H24" s="445"/>
      <c r="I24" s="445"/>
      <c r="J24" s="446"/>
      <c r="K24" s="163"/>
      <c r="L24" s="447" t="s">
        <v>72</v>
      </c>
      <c r="M24" s="447"/>
      <c r="N24" s="447"/>
      <c r="O24" s="447"/>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9.4</v>
      </c>
      <c r="J26" s="189">
        <f>SUM(G26:I26)</f>
        <v>9.4</v>
      </c>
      <c r="L26" s="190"/>
      <c r="M26" s="190"/>
      <c r="N26" s="190">
        <f>I26</f>
        <v>9.4</v>
      </c>
      <c r="O26" s="128">
        <f>SUM(L26:N26)</f>
        <v>9.4</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ROUND(MAX(D14,D15,('Customer Info'!B15-100)*0.6,('Customer Info'!B17-100)*0.6),1)</f>
        <v>0</v>
      </c>
      <c r="E28" s="158" t="s">
        <v>13</v>
      </c>
      <c r="F28" s="1" t="s">
        <v>80</v>
      </c>
      <c r="G28" s="337"/>
      <c r="H28" s="337"/>
      <c r="I28" s="337">
        <v>7.01</v>
      </c>
      <c r="J28" s="337">
        <f>SUM(G28:I28)</f>
        <v>7.01</v>
      </c>
      <c r="K28" s="154" t="s">
        <v>162</v>
      </c>
      <c r="L28" s="189"/>
      <c r="M28" s="189"/>
      <c r="N28" s="189">
        <f>ROUND($D28*I28,2)</f>
        <v>0</v>
      </c>
      <c r="O28" s="128">
        <f>SUM(L28:N28)</f>
        <v>0</v>
      </c>
      <c r="P28" s="92">
        <v>44531</v>
      </c>
    </row>
    <row r="29" spans="1:30" x14ac:dyDescent="0.2">
      <c r="A29" t="s">
        <v>209</v>
      </c>
      <c r="D29" s="349">
        <f>IF(D18&lt;=100,0,ROUND(IF(D18-D19&gt;0,D18-D19),1))</f>
        <v>0</v>
      </c>
      <c r="E29" s="158" t="s">
        <v>210</v>
      </c>
      <c r="F29" s="1" t="s">
        <v>80</v>
      </c>
      <c r="G29" s="338"/>
      <c r="H29" s="337"/>
      <c r="I29" s="337">
        <v>1.25</v>
      </c>
      <c r="J29" s="338">
        <f>SUM(G29:I29)</f>
        <v>1.25</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9.4</v>
      </c>
      <c r="O30" s="171">
        <f>SUM(O26:O29)</f>
        <v>9.4</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5.5215000000000004E-3</v>
      </c>
      <c r="J34" s="214">
        <f>SUM(G34:I34)</f>
        <v>5.5215000000000004E-3</v>
      </c>
      <c r="K34" s="154" t="s">
        <v>85</v>
      </c>
      <c r="L34" s="189"/>
      <c r="M34" s="189"/>
      <c r="N34" s="189">
        <f>ROUND($D34*I34,2)</f>
        <v>0</v>
      </c>
      <c r="O34" s="189">
        <f>SUM(L34:N34)</f>
        <v>0</v>
      </c>
      <c r="P34" s="92">
        <f>'Rider Rates'!$D$4</f>
        <v>46022</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46022</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9.4</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Rates'!$B$59</f>
        <v>4.3439999999999999E-4</v>
      </c>
      <c r="I41" s="100"/>
      <c r="J41" s="100">
        <f>SUM(G41:I41)</f>
        <v>4.3439999999999999E-4</v>
      </c>
      <c r="K41" s="94" t="s">
        <v>85</v>
      </c>
      <c r="L41" s="89"/>
      <c r="M41" s="89">
        <f>ROUND(D41*H41,2)</f>
        <v>0</v>
      </c>
      <c r="N41" s="116"/>
      <c r="O41" s="89">
        <f t="shared" si="0"/>
        <v>0</v>
      </c>
      <c r="P41" s="92">
        <f>'Rider Rates'!$D$59</f>
        <v>45929</v>
      </c>
    </row>
    <row r="42" spans="1:221" x14ac:dyDescent="0.2">
      <c r="A42" s="76" t="s">
        <v>97</v>
      </c>
      <c r="B42" s="72"/>
      <c r="C42" s="72"/>
      <c r="D42" s="349">
        <f>ROUND(MAX(D14,('Customer Info'!B15-100)*0.6,('Customer Info'!B17-100)*0.6),1)</f>
        <v>0</v>
      </c>
      <c r="E42" s="152" t="s">
        <v>211</v>
      </c>
      <c r="F42" s="1" t="s">
        <v>80</v>
      </c>
      <c r="G42" s="100"/>
      <c r="H42" s="90">
        <f>'Rider Rates'!$B$64</f>
        <v>7.49</v>
      </c>
      <c r="I42" s="100"/>
      <c r="J42" s="90">
        <f>SUM(G42:I42)</f>
        <v>7.49</v>
      </c>
      <c r="K42" s="94" t="s">
        <v>162</v>
      </c>
      <c r="L42" s="89"/>
      <c r="M42" s="89">
        <f>ROUND(D42*H42,2)</f>
        <v>0</v>
      </c>
      <c r="N42" s="116"/>
      <c r="O42" s="89">
        <f t="shared" si="0"/>
        <v>0</v>
      </c>
      <c r="P42" s="92">
        <f>'Rider Rates'!$D$64</f>
        <v>45929</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9.4</v>
      </c>
      <c r="E45" s="97" t="s">
        <v>92</v>
      </c>
      <c r="F45" s="84" t="s">
        <v>80</v>
      </c>
      <c r="G45" s="117"/>
      <c r="H45" s="118"/>
      <c r="I45" s="119">
        <f>'Rider Rates'!$B$87</f>
        <v>3.5344300000000002E-2</v>
      </c>
      <c r="J45" s="119">
        <f>SUM(H45:I45)</f>
        <v>3.5344300000000002E-2</v>
      </c>
      <c r="K45" s="94"/>
      <c r="L45" s="89"/>
      <c r="M45" s="89"/>
      <c r="N45" s="89">
        <f>ROUND(N$30*I45,2)</f>
        <v>0.33</v>
      </c>
      <c r="O45" s="128">
        <f t="shared" si="0"/>
        <v>0.33</v>
      </c>
      <c r="P45" s="92">
        <f>'Rider Rates'!$D$87</f>
        <v>45929</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9.4</v>
      </c>
      <c r="E46" s="97" t="s">
        <v>92</v>
      </c>
      <c r="F46" s="84" t="s">
        <v>80</v>
      </c>
      <c r="G46" s="120"/>
      <c r="H46" s="85"/>
      <c r="I46" s="119">
        <f>'Rider Rates'!$B$89</f>
        <v>7.8822199999999995E-2</v>
      </c>
      <c r="J46" s="119">
        <f>SUM(H46:I46)</f>
        <v>7.8822199999999995E-2</v>
      </c>
      <c r="K46" s="94"/>
      <c r="L46" s="89"/>
      <c r="M46" s="89"/>
      <c r="N46" s="89">
        <f>ROUND(N$30*I46,2)</f>
        <v>0.74</v>
      </c>
      <c r="O46" s="128">
        <f t="shared" si="0"/>
        <v>0.74</v>
      </c>
      <c r="P46" s="92">
        <f>'Rider Rates'!$D$89</f>
        <v>45987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21.84</v>
      </c>
      <c r="J47" s="121">
        <f>SUM(G47:I47)</f>
        <v>21.84</v>
      </c>
      <c r="K47" s="94"/>
      <c r="L47" s="89"/>
      <c r="M47" s="89"/>
      <c r="N47" s="89">
        <f>I47</f>
        <v>21.84</v>
      </c>
      <c r="O47" s="89">
        <f>SUM(L47:N47)</f>
        <v>21.84</v>
      </c>
      <c r="P47" s="92">
        <f>'Rider Rates'!$D$93</f>
        <v>46022</v>
      </c>
    </row>
    <row r="48" spans="1:221" x14ac:dyDescent="0.2">
      <c r="A48" s="76" t="s">
        <v>104</v>
      </c>
      <c r="B48" s="72"/>
      <c r="C48" s="72"/>
      <c r="D48" s="217">
        <f>$N$30</f>
        <v>9.4</v>
      </c>
      <c r="E48" s="97" t="s">
        <v>92</v>
      </c>
      <c r="F48" s="84" t="s">
        <v>80</v>
      </c>
      <c r="G48" s="120"/>
      <c r="H48" s="85"/>
      <c r="I48" s="119">
        <f>'Rider Rates'!$B$107</f>
        <v>0.24079249999999999</v>
      </c>
      <c r="J48" s="119">
        <f>SUM(H48:I48)</f>
        <v>0.24079249999999999</v>
      </c>
      <c r="K48" s="94"/>
      <c r="L48" s="89"/>
      <c r="M48" s="89"/>
      <c r="N48" s="89">
        <f>ROUND(N$30*I48,2)</f>
        <v>2.2599999999999998</v>
      </c>
      <c r="O48" s="89">
        <f t="shared" si="0"/>
        <v>2.2599999999999998</v>
      </c>
      <c r="P48" s="92">
        <f>'Rider Rates'!$D$107</f>
        <v>45987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0.99</v>
      </c>
      <c r="J49" s="121">
        <f t="shared" ref="J49:J54" si="1">SUM(G49:I49)</f>
        <v>0.99</v>
      </c>
      <c r="K49" s="94"/>
      <c r="L49" s="89"/>
      <c r="M49" s="89"/>
      <c r="N49" s="125">
        <f>I49</f>
        <v>0.99</v>
      </c>
      <c r="O49" s="89">
        <f t="shared" ref="O49:O54" si="2">SUM(L49:N49)</f>
        <v>0.99</v>
      </c>
      <c r="P49" s="92">
        <f>'Rider Rates'!D123</f>
        <v>45958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Rates'!$B$132</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26.16</v>
      </c>
      <c r="O56" s="105">
        <f>SUM(O34:O55)</f>
        <v>26.16</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35.56</v>
      </c>
      <c r="O58" s="219">
        <f>O30+O56</f>
        <v>35.56</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35.56</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35.56</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31"/>
    </row>
    <row r="75" spans="1:16" x14ac:dyDescent="0.2">
      <c r="A75" s="431"/>
    </row>
    <row r="76" spans="1:16" x14ac:dyDescent="0.2">
      <c r="A76" s="431"/>
    </row>
    <row r="77" spans="1:16" x14ac:dyDescent="0.2">
      <c r="A77" s="431"/>
    </row>
    <row r="78" spans="1:16" x14ac:dyDescent="0.2">
      <c r="A78" s="431"/>
    </row>
    <row r="79" spans="1:16" x14ac:dyDescent="0.2">
      <c r="A79" s="431"/>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sheetData>
  <sheetProtection algorithmName="SHA-512" hashValue="UA4orU5pR7PmXTyOt+P2/HdXox9xIpfAvIry6/gFcfox3P7bIuX6U9lOrOPtTOQremjCRjHx37PE4aHZRNKd9A==" saltValue="W05jSOoOZz55Q9jLyRN5tA=="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6626"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2662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2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2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3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31"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2"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3"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4"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5"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6"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7"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8"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7"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48"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49"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50"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5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3"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4"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5"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6"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6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6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7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7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5"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6"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7"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8"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9"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0"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1"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2"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FE4F7-F7BF-4ABB-98A4-C6EFD2663395}">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229</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46051</v>
      </c>
      <c r="B6" s="76" t="s">
        <v>230</v>
      </c>
      <c r="C6" s="229"/>
      <c r="D6" s="229"/>
      <c r="E6" s="229"/>
      <c r="F6" s="229"/>
      <c r="G6" s="229"/>
      <c r="H6" s="229"/>
      <c r="I6" s="229"/>
      <c r="J6" s="229"/>
      <c r="K6" s="229"/>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2</v>
      </c>
      <c r="C10" s="63" t="str">
        <f>LOOKUP(B10,R10:AD10,R11:AD11)</f>
        <v>February</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206">
        <f>IF('Customer Info'!$B$19=0,0,ROUND(MAX(ROUND('Customer Info'!$B$19*'GS PRI OAD'!C20,1),ROUND('Customer Info'!$B$20*'GS PRI OAD'!C20,1))/'Customer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206">
        <f>MAX(100,ROUND(1.15*(MAX('Customer Info'!$B$19*'GS PRI OAD'!C20,'Customer Info'!$B$20*'GS PRI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2" t="s">
        <v>2</v>
      </c>
      <c r="E21" s="452"/>
      <c r="F21" s="452"/>
      <c r="G21" s="452"/>
      <c r="H21" s="452"/>
      <c r="K21" s="158"/>
      <c r="L21" s="158"/>
      <c r="M21" s="158"/>
      <c r="N21" s="158"/>
      <c r="O21" s="188"/>
    </row>
    <row r="22" spans="1:30" x14ac:dyDescent="0.2">
      <c r="A22" s="158" t="s">
        <v>2</v>
      </c>
      <c r="B22" s="158"/>
      <c r="C22" s="210" t="s">
        <v>2</v>
      </c>
      <c r="D22" s="452" t="s">
        <v>2</v>
      </c>
      <c r="E22" s="452"/>
      <c r="F22" s="452"/>
      <c r="G22" s="452"/>
      <c r="H22" s="452"/>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4" t="s">
        <v>71</v>
      </c>
      <c r="H24" s="445"/>
      <c r="I24" s="445"/>
      <c r="J24" s="446"/>
      <c r="K24" s="163"/>
      <c r="L24" s="447" t="s">
        <v>72</v>
      </c>
      <c r="M24" s="447"/>
      <c r="N24" s="447"/>
      <c r="O24" s="447"/>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45261</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5.5215000000000004E-3</v>
      </c>
      <c r="J34" s="214">
        <f>SUM(G34:I34)</f>
        <v>5.5215000000000004E-3</v>
      </c>
      <c r="K34" s="154" t="s">
        <v>85</v>
      </c>
      <c r="L34" s="189"/>
      <c r="M34" s="189"/>
      <c r="N34" s="189">
        <f>ROUND($D34*I34,2)</f>
        <v>0</v>
      </c>
      <c r="O34" s="189">
        <f>SUM(L34:N34)</f>
        <v>0</v>
      </c>
      <c r="P34" s="92">
        <f>'Rider Rates'!$D$4</f>
        <v>46022</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46022</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Rates'!B60</f>
        <v>4.1980000000000001E-4</v>
      </c>
      <c r="I41" s="100"/>
      <c r="J41" s="100">
        <f>SUM(G41:I41)</f>
        <v>4.1980000000000001E-4</v>
      </c>
      <c r="K41" s="94" t="s">
        <v>85</v>
      </c>
      <c r="L41" s="89"/>
      <c r="M41" s="89">
        <f>ROUND(D41*H41,2)</f>
        <v>0</v>
      </c>
      <c r="N41" s="116"/>
      <c r="O41" s="89">
        <f t="shared" si="0"/>
        <v>0</v>
      </c>
      <c r="P41" s="92">
        <f>'Rider Rates'!$D$59</f>
        <v>45929</v>
      </c>
    </row>
    <row r="42" spans="1:221" x14ac:dyDescent="0.2">
      <c r="A42" s="76" t="s">
        <v>97</v>
      </c>
      <c r="B42" s="72"/>
      <c r="C42" s="72"/>
      <c r="D42" s="349">
        <f>ROUND(MAX(D14,('Customer Info'!B15-100)*0.6,('Customer Info'!B17-100)*0.6),1)</f>
        <v>0</v>
      </c>
      <c r="E42" s="152" t="s">
        <v>211</v>
      </c>
      <c r="F42" s="1" t="s">
        <v>80</v>
      </c>
      <c r="G42" s="100"/>
      <c r="H42" s="90">
        <f>'Rider Rates'!B65</f>
        <v>8.67</v>
      </c>
      <c r="I42" s="100"/>
      <c r="J42" s="90">
        <f>SUM(G42:I42)</f>
        <v>8.67</v>
      </c>
      <c r="K42" s="94" t="s">
        <v>162</v>
      </c>
      <c r="L42" s="89"/>
      <c r="M42" s="89">
        <f>ROUND(D42*H42,2)</f>
        <v>0</v>
      </c>
      <c r="N42" s="116"/>
      <c r="O42" s="89">
        <f t="shared" si="0"/>
        <v>0</v>
      </c>
      <c r="P42" s="92">
        <f>'Rider Rates'!$D$64</f>
        <v>45929</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138.5</v>
      </c>
      <c r="E45" s="97" t="s">
        <v>92</v>
      </c>
      <c r="F45" s="84" t="s">
        <v>80</v>
      </c>
      <c r="G45" s="117"/>
      <c r="H45" s="118"/>
      <c r="I45" s="119">
        <f>'Rider Rates'!$B$87</f>
        <v>3.5344300000000002E-2</v>
      </c>
      <c r="J45" s="119">
        <f>SUM(H45:I45)</f>
        <v>3.5344300000000002E-2</v>
      </c>
      <c r="K45" s="94"/>
      <c r="L45" s="89"/>
      <c r="M45" s="89"/>
      <c r="N45" s="89">
        <f>ROUND(N$30*I45,2)</f>
        <v>4.9000000000000004</v>
      </c>
      <c r="O45" s="128">
        <f t="shared" si="0"/>
        <v>4.9000000000000004</v>
      </c>
      <c r="P45" s="92">
        <f>'Rider Rates'!$D$87</f>
        <v>45929</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138.5</v>
      </c>
      <c r="E46" s="97" t="s">
        <v>92</v>
      </c>
      <c r="F46" s="84" t="s">
        <v>80</v>
      </c>
      <c r="G46" s="120"/>
      <c r="H46" s="85"/>
      <c r="I46" s="119">
        <f>'Rider Rates'!$B$89</f>
        <v>7.8822199999999995E-2</v>
      </c>
      <c r="J46" s="119">
        <f>SUM(H46:I46)</f>
        <v>7.8822199999999995E-2</v>
      </c>
      <c r="K46" s="94"/>
      <c r="L46" s="89"/>
      <c r="M46" s="89"/>
      <c r="N46" s="89">
        <f>ROUND(N$30*I46,2)</f>
        <v>10.92</v>
      </c>
      <c r="O46" s="128">
        <f t="shared" si="0"/>
        <v>10.92</v>
      </c>
      <c r="P46" s="92">
        <f>'Rider Rates'!$D$89</f>
        <v>45987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21.84</v>
      </c>
      <c r="J47" s="121">
        <f>SUM(G47:I47)</f>
        <v>21.84</v>
      </c>
      <c r="K47" s="94"/>
      <c r="L47" s="89"/>
      <c r="M47" s="89"/>
      <c r="N47" s="89">
        <f>I47</f>
        <v>21.84</v>
      </c>
      <c r="O47" s="89">
        <f>SUM(L47:N47)</f>
        <v>21.84</v>
      </c>
      <c r="P47" s="92">
        <f>'Rider Rates'!$D$93</f>
        <v>46022</v>
      </c>
    </row>
    <row r="48" spans="1:221" x14ac:dyDescent="0.2">
      <c r="A48" s="76" t="s">
        <v>104</v>
      </c>
      <c r="B48" s="72"/>
      <c r="C48" s="72"/>
      <c r="D48" s="217">
        <f>$N$30</f>
        <v>138.5</v>
      </c>
      <c r="E48" s="97" t="s">
        <v>92</v>
      </c>
      <c r="F48" s="84" t="s">
        <v>80</v>
      </c>
      <c r="G48" s="120"/>
      <c r="H48" s="85"/>
      <c r="I48" s="119">
        <f>'Rider Rates'!$B$107</f>
        <v>0.24079249999999999</v>
      </c>
      <c r="J48" s="119">
        <f>SUM(H48:I48)</f>
        <v>0.24079249999999999</v>
      </c>
      <c r="K48" s="94"/>
      <c r="L48" s="89"/>
      <c r="M48" s="89"/>
      <c r="N48" s="89">
        <f>ROUND(N$30*I48,2)</f>
        <v>33.35</v>
      </c>
      <c r="O48" s="89">
        <f t="shared" si="0"/>
        <v>33.35</v>
      </c>
      <c r="P48" s="92">
        <f>'Rider Rates'!$D$107</f>
        <v>45987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0.99</v>
      </c>
      <c r="J49" s="121">
        <f t="shared" ref="J49:J54" si="1">SUM(G49:I49)</f>
        <v>0.99</v>
      </c>
      <c r="K49" s="94"/>
      <c r="L49" s="89"/>
      <c r="M49" s="89"/>
      <c r="N49" s="125">
        <f>I49</f>
        <v>0.99</v>
      </c>
      <c r="O49" s="89">
        <f t="shared" ref="O49:O54" si="2">SUM(L49:N49)</f>
        <v>0.99</v>
      </c>
      <c r="P49" s="92">
        <f>'Rider Rates'!D123</f>
        <v>45958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Rates'!$B$134</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71.999999999999986</v>
      </c>
      <c r="O56" s="105">
        <f>SUM(O34:O55)</f>
        <v>71.999999999999986</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210.5</v>
      </c>
      <c r="O58" s="219">
        <f>O30+O56</f>
        <v>210.5</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210.5</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210.5</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31"/>
    </row>
    <row r="75" spans="1:16" x14ac:dyDescent="0.2">
      <c r="A75" s="431"/>
    </row>
    <row r="76" spans="1:16" x14ac:dyDescent="0.2">
      <c r="A76" s="431"/>
    </row>
    <row r="77" spans="1:16" x14ac:dyDescent="0.2">
      <c r="A77" s="431"/>
    </row>
    <row r="78" spans="1:16" x14ac:dyDescent="0.2">
      <c r="A78" s="431"/>
    </row>
    <row r="79" spans="1:16" x14ac:dyDescent="0.2">
      <c r="A79" s="431"/>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sheetData>
  <sheetProtection algorithmName="SHA-512" hashValue="1ISnmBuVeS5pN9F4niEoudMScR9O0iRBzboq/YOlGbWcD8QqDv2ZulWdyeX9HCyKWrBqmKY/QZu4Z5WUk+Ua6Q==" saltValue="lfuGFeJEP3vCf7gg8/ukYQ=="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7650"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2765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6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6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7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7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8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8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9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9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76D14-D4EC-4EF9-B84F-25B55C8C3CD2}">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231</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46051</v>
      </c>
      <c r="B6" s="76" t="s">
        <v>232</v>
      </c>
      <c r="C6" s="229"/>
      <c r="D6" s="229"/>
      <c r="E6" s="229"/>
      <c r="F6" s="229"/>
      <c r="G6" s="229"/>
      <c r="H6" s="229"/>
      <c r="I6" s="229"/>
      <c r="J6" s="229"/>
      <c r="K6" s="229"/>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2</v>
      </c>
      <c r="C10" s="63" t="str">
        <f>LOOKUP(B10,R10:AD10,R11:AD11)</f>
        <v>February</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0" x14ac:dyDescent="0.2">
      <c r="A17" s="158" t="s">
        <v>214</v>
      </c>
      <c r="B17" s="158"/>
      <c r="C17" s="159">
        <f>'Customer Info'!$B$27</f>
        <v>0</v>
      </c>
      <c r="D17" s="159">
        <f>C17*C19</f>
        <v>0</v>
      </c>
      <c r="E17" s="158" t="s">
        <v>215</v>
      </c>
      <c r="F17" s="160"/>
      <c r="K17" s="158"/>
      <c r="L17" s="158"/>
      <c r="M17" s="158"/>
      <c r="N17" s="158"/>
    </row>
    <row r="18" spans="1:30" x14ac:dyDescent="0.2">
      <c r="A18" s="158" t="s">
        <v>216</v>
      </c>
      <c r="B18" s="158"/>
      <c r="C18" s="159"/>
      <c r="D18" s="159">
        <f>IF((D17-(ROUND(MAX(D14,D15)*0.5,1)))&lt;0,0,(D17-(ROUND(MAX(D14,D15)*0.5,1))))</f>
        <v>0</v>
      </c>
      <c r="E18" s="158" t="s">
        <v>217</v>
      </c>
      <c r="F18" s="160"/>
      <c r="K18" s="158"/>
      <c r="L18" s="158"/>
      <c r="M18" s="158"/>
      <c r="N18" s="158"/>
    </row>
    <row r="19" spans="1:30"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0" x14ac:dyDescent="0.2">
      <c r="A20" s="158" t="s">
        <v>2</v>
      </c>
      <c r="B20" s="158"/>
      <c r="C20" s="210" t="s">
        <v>2</v>
      </c>
      <c r="D20" s="452" t="s">
        <v>2</v>
      </c>
      <c r="E20" s="452"/>
      <c r="F20" s="452"/>
      <c r="G20" s="452"/>
      <c r="H20" s="452"/>
      <c r="K20" s="158"/>
      <c r="L20" s="158"/>
      <c r="M20" s="158"/>
      <c r="N20" s="158"/>
      <c r="O20" s="188"/>
    </row>
    <row r="21" spans="1:30" x14ac:dyDescent="0.2">
      <c r="A21" s="158" t="s">
        <v>2</v>
      </c>
      <c r="B21" s="158"/>
      <c r="C21" s="210" t="s">
        <v>2</v>
      </c>
      <c r="D21" s="452" t="s">
        <v>2</v>
      </c>
      <c r="E21" s="452"/>
      <c r="F21" s="452"/>
      <c r="G21" s="452"/>
      <c r="H21" s="452"/>
      <c r="I21" s="57"/>
      <c r="J21" s="57"/>
      <c r="K21" s="158"/>
      <c r="L21" s="158"/>
      <c r="M21" s="158"/>
      <c r="N21" s="158"/>
      <c r="O21" s="188"/>
    </row>
    <row r="22" spans="1:30" x14ac:dyDescent="0.2">
      <c r="A22" s="158"/>
      <c r="B22" s="158"/>
      <c r="C22" s="160"/>
      <c r="D22" s="160"/>
      <c r="E22" s="160"/>
      <c r="F22" s="160"/>
      <c r="G22" s="57"/>
      <c r="H22" s="57"/>
      <c r="I22" s="57"/>
      <c r="J22" s="57"/>
      <c r="K22" s="158"/>
      <c r="L22" s="158"/>
      <c r="M22" s="158"/>
      <c r="N22" s="158"/>
      <c r="O22" s="158"/>
    </row>
    <row r="23" spans="1:30" x14ac:dyDescent="0.2">
      <c r="A23" s="162" t="s">
        <v>70</v>
      </c>
      <c r="B23" s="163"/>
      <c r="C23" s="163"/>
      <c r="D23" s="163"/>
      <c r="E23" s="163"/>
      <c r="F23" s="163"/>
      <c r="G23" s="444" t="s">
        <v>71</v>
      </c>
      <c r="H23" s="445"/>
      <c r="I23" s="445"/>
      <c r="J23" s="446"/>
      <c r="K23" s="163"/>
      <c r="L23" s="447" t="s">
        <v>72</v>
      </c>
      <c r="M23" s="447"/>
      <c r="N23" s="447"/>
      <c r="O23" s="447"/>
    </row>
    <row r="24" spans="1:30" x14ac:dyDescent="0.2">
      <c r="G24" s="164" t="s">
        <v>73</v>
      </c>
      <c r="H24" s="164" t="s">
        <v>74</v>
      </c>
      <c r="I24" s="164" t="s">
        <v>75</v>
      </c>
      <c r="J24" s="118" t="s">
        <v>76</v>
      </c>
      <c r="L24" s="165" t="s">
        <v>73</v>
      </c>
      <c r="M24" s="165" t="s">
        <v>74</v>
      </c>
      <c r="N24" s="165" t="s">
        <v>75</v>
      </c>
      <c r="O24" s="165" t="s">
        <v>76</v>
      </c>
      <c r="P24" s="166" t="s">
        <v>77</v>
      </c>
    </row>
    <row r="25" spans="1:30" x14ac:dyDescent="0.2">
      <c r="A25" t="s">
        <v>78</v>
      </c>
      <c r="G25" s="189"/>
      <c r="H25" s="189"/>
      <c r="I25" s="189">
        <f>IF(D14&gt;2000,3600,825)</f>
        <v>825</v>
      </c>
      <c r="J25" s="189">
        <f>SUM(G25:I25)</f>
        <v>825</v>
      </c>
      <c r="L25" s="190"/>
      <c r="M25" s="190"/>
      <c r="N25" s="190">
        <f>I25</f>
        <v>825</v>
      </c>
      <c r="O25" s="128">
        <f>SUM(L25:N25)</f>
        <v>825</v>
      </c>
      <c r="P25" s="92">
        <v>44531</v>
      </c>
    </row>
    <row r="26" spans="1:30" x14ac:dyDescent="0.2">
      <c r="A26" t="s">
        <v>165</v>
      </c>
      <c r="D26" s="4">
        <f>D16</f>
        <v>0</v>
      </c>
      <c r="E26" s="97" t="s">
        <v>19</v>
      </c>
      <c r="F26" s="84" t="s">
        <v>80</v>
      </c>
      <c r="G26" s="191"/>
      <c r="H26" s="189"/>
      <c r="I26" s="189"/>
      <c r="J26" s="191"/>
      <c r="K26" s="94" t="s">
        <v>85</v>
      </c>
      <c r="L26" s="189"/>
      <c r="M26" s="190"/>
      <c r="N26" s="189"/>
      <c r="O26" s="128"/>
      <c r="P26" s="92"/>
    </row>
    <row r="27" spans="1:30" x14ac:dyDescent="0.2">
      <c r="A27" t="s">
        <v>208</v>
      </c>
      <c r="D27" s="349">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row>
    <row r="28" spans="1:30"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row>
    <row r="29" spans="1:30" x14ac:dyDescent="0.2">
      <c r="A29" s="144" t="s">
        <v>82</v>
      </c>
      <c r="B29" s="144"/>
      <c r="C29" s="144"/>
      <c r="D29" s="170"/>
      <c r="E29" s="170"/>
      <c r="F29" s="144"/>
      <c r="G29" s="144"/>
      <c r="H29" s="144"/>
      <c r="I29" s="144"/>
      <c r="J29" s="144"/>
      <c r="K29" s="172"/>
      <c r="L29" s="171"/>
      <c r="M29" s="171"/>
      <c r="N29" s="171">
        <f>SUM(N25:N28)</f>
        <v>825</v>
      </c>
      <c r="O29" s="171">
        <f>SUM(O25:O28)</f>
        <v>825</v>
      </c>
    </row>
    <row r="30" spans="1:30" x14ac:dyDescent="0.2">
      <c r="A30" s="192"/>
      <c r="B30" s="192"/>
      <c r="C30" s="193"/>
      <c r="D30" s="193"/>
      <c r="E30" s="193"/>
      <c r="F30" s="193"/>
      <c r="G30" s="194"/>
      <c r="H30" s="194"/>
      <c r="I30" s="194"/>
      <c r="J30" s="194"/>
      <c r="K30" s="192"/>
      <c r="L30" s="192"/>
      <c r="M30" s="192"/>
      <c r="N30" s="192"/>
      <c r="O30" s="192"/>
      <c r="P30" s="192"/>
    </row>
    <row r="31" spans="1:30" x14ac:dyDescent="0.2">
      <c r="A31" s="155" t="s">
        <v>83</v>
      </c>
      <c r="D31" s="4"/>
      <c r="E31" s="4"/>
      <c r="K31" s="154"/>
      <c r="L31" s="154"/>
      <c r="M31" s="154"/>
      <c r="N31" s="154"/>
      <c r="O31" s="213"/>
      <c r="P31" s="213"/>
    </row>
    <row r="32" spans="1:30" x14ac:dyDescent="0.2">
      <c r="A32" s="144"/>
      <c r="D32" s="4"/>
      <c r="E32" s="4"/>
      <c r="K32" s="154"/>
      <c r="L32" s="154"/>
      <c r="M32" s="154"/>
      <c r="N32" s="154"/>
      <c r="O32" s="213"/>
    </row>
    <row r="33" spans="1:221" x14ac:dyDescent="0.2">
      <c r="A33" s="72" t="s">
        <v>84</v>
      </c>
      <c r="D33" s="4">
        <f>IF($C$16&lt;0,0,IF($C$16&gt;833000,833000,$C$16))</f>
        <v>0</v>
      </c>
      <c r="E33" s="152" t="s">
        <v>19</v>
      </c>
      <c r="F33" s="1" t="s">
        <v>80</v>
      </c>
      <c r="G33" s="167"/>
      <c r="H33" s="191"/>
      <c r="I33" s="100">
        <f>'Rider Rates'!$B$4</f>
        <v>5.5215000000000004E-3</v>
      </c>
      <c r="J33" s="214">
        <f>SUM(G33:I33)</f>
        <v>5.5215000000000004E-3</v>
      </c>
      <c r="K33" s="154" t="s">
        <v>85</v>
      </c>
      <c r="L33" s="189"/>
      <c r="M33" s="189"/>
      <c r="N33" s="189">
        <f>ROUND($D33*I33,2)</f>
        <v>0</v>
      </c>
      <c r="O33" s="189">
        <f t="shared" ref="O33:O41" si="0">SUM(L33:N33)</f>
        <v>0</v>
      </c>
      <c r="P33" s="92">
        <f>'Rider Rates'!$D$4</f>
        <v>46022</v>
      </c>
    </row>
    <row r="34" spans="1:221"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 t="shared" si="0"/>
        <v>0</v>
      </c>
      <c r="P34" s="92">
        <f>'Rider Rates'!$D$4</f>
        <v>46022</v>
      </c>
    </row>
    <row r="35" spans="1:221"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 t="shared" si="0"/>
        <v>0</v>
      </c>
      <c r="P35" s="92">
        <f>'Rider Rates'!$D$7</f>
        <v>44531</v>
      </c>
    </row>
    <row r="36" spans="1:221"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 t="shared" si="0"/>
        <v>0</v>
      </c>
      <c r="P36" s="92">
        <f>'Rider Rates'!$D$7</f>
        <v>44531</v>
      </c>
    </row>
    <row r="37" spans="1:221"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 t="shared" si="0"/>
        <v>0</v>
      </c>
      <c r="P37" s="92">
        <f>'Rider Rates'!$D$7</f>
        <v>44531</v>
      </c>
    </row>
    <row r="38" spans="1:221"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si="0"/>
        <v>0</v>
      </c>
      <c r="P38" s="92">
        <f>MAX('Rider Rates'!$D$18,'Rider Rates'!$F$18)</f>
        <v>44531</v>
      </c>
    </row>
    <row r="39" spans="1:221" x14ac:dyDescent="0.2">
      <c r="A39" s="72" t="s">
        <v>96</v>
      </c>
      <c r="B39" s="72"/>
      <c r="C39" s="72"/>
      <c r="D39" s="4">
        <f>IF($C$16&lt;0,0,IF($C$16&gt;833000,833000,$C$16))</f>
        <v>0</v>
      </c>
      <c r="E39" s="97" t="s">
        <v>19</v>
      </c>
      <c r="F39" s="84" t="s">
        <v>80</v>
      </c>
      <c r="G39" s="100"/>
      <c r="H39" s="100"/>
      <c r="I39" s="100">
        <f>'Rider Rates'!D53</f>
        <v>0</v>
      </c>
      <c r="J39" s="100">
        <f>SUM(G39:I39)</f>
        <v>0</v>
      </c>
      <c r="K39" s="94" t="s">
        <v>85</v>
      </c>
      <c r="L39" s="89"/>
      <c r="M39" s="89"/>
      <c r="N39" s="189">
        <f>D39*J39</f>
        <v>0</v>
      </c>
      <c r="O39" s="89">
        <f t="shared" si="0"/>
        <v>0</v>
      </c>
      <c r="P39" s="92">
        <f>'Rider Rates'!E53</f>
        <v>45883</v>
      </c>
    </row>
    <row r="40" spans="1:221" x14ac:dyDescent="0.2">
      <c r="A40" s="76" t="s">
        <v>97</v>
      </c>
      <c r="B40" s="72"/>
      <c r="C40" s="72"/>
      <c r="D40" s="4">
        <f>IF($C$16&lt;0,0,$C$16)</f>
        <v>0</v>
      </c>
      <c r="E40" s="97" t="s">
        <v>19</v>
      </c>
      <c r="F40" s="84" t="s">
        <v>80</v>
      </c>
      <c r="G40" s="100"/>
      <c r="H40" s="100">
        <f>'Rider Rates'!$B$61</f>
        <v>4.1229999999999999E-4</v>
      </c>
      <c r="I40" s="100"/>
      <c r="J40" s="100">
        <f>SUM(G40:I40)</f>
        <v>4.1229999999999999E-4</v>
      </c>
      <c r="K40" s="94" t="s">
        <v>85</v>
      </c>
      <c r="L40" s="89"/>
      <c r="M40" s="89">
        <f>ROUND(D40*H40,2)</f>
        <v>0</v>
      </c>
      <c r="N40" s="116"/>
      <c r="O40" s="89">
        <f t="shared" si="0"/>
        <v>0</v>
      </c>
      <c r="P40" s="92">
        <f>'Rider Rates'!$D$61</f>
        <v>45929</v>
      </c>
    </row>
    <row r="41" spans="1:221" x14ac:dyDescent="0.2">
      <c r="A41" s="76" t="s">
        <v>97</v>
      </c>
      <c r="B41" s="72"/>
      <c r="C41" s="72"/>
      <c r="D41" s="349">
        <f>ROUND(MAX(D14,('Customer Info'!B15-100)*0.6,('Customer Info'!B17-100)*0.6),1)</f>
        <v>0</v>
      </c>
      <c r="E41" s="152" t="s">
        <v>211</v>
      </c>
      <c r="F41" s="1" t="s">
        <v>80</v>
      </c>
      <c r="G41" s="100"/>
      <c r="H41" s="90">
        <f>'Rider Rates'!$B$66</f>
        <v>7.16</v>
      </c>
      <c r="I41" s="100"/>
      <c r="J41" s="90">
        <f>SUM(G41:I41)</f>
        <v>7.16</v>
      </c>
      <c r="K41" s="94" t="s">
        <v>162</v>
      </c>
      <c r="L41" s="89"/>
      <c r="M41" s="89">
        <f>ROUND(D41*H41,2)</f>
        <v>0</v>
      </c>
      <c r="N41" s="116"/>
      <c r="O41" s="89">
        <f t="shared" si="0"/>
        <v>0</v>
      </c>
      <c r="P41" s="92">
        <f>'Rider Rates'!$D$66</f>
        <v>45929</v>
      </c>
    </row>
    <row r="42" spans="1:221" x14ac:dyDescent="0.2">
      <c r="A42" s="76" t="s">
        <v>190</v>
      </c>
      <c r="B42" s="72"/>
      <c r="C42" s="72"/>
      <c r="D42" s="4">
        <f>IF('Customer Info'!C35=TRUE,0,IF($C$16&lt;0,0,$C$16))</f>
        <v>0</v>
      </c>
      <c r="E42" s="97" t="s">
        <v>19</v>
      </c>
      <c r="F42" s="84" t="s">
        <v>80</v>
      </c>
      <c r="G42" s="100"/>
      <c r="H42" s="100"/>
      <c r="I42" s="100">
        <f>'Rider Rates'!$B$73+'Rider Rates'!$C$73</f>
        <v>0</v>
      </c>
      <c r="J42" s="100">
        <f>SUM(G42:I42)</f>
        <v>0</v>
      </c>
      <c r="K42" s="94" t="s">
        <v>85</v>
      </c>
      <c r="L42" s="89"/>
      <c r="M42" s="89"/>
      <c r="N42" s="189">
        <f>ROUND($D$42*'Rider Rates'!$B$73,2)+ROUND($D$42*'Rider Rates'!$C$73,2)</f>
        <v>0</v>
      </c>
      <c r="O42" s="128">
        <f t="shared" ref="O42:O47" si="1">SUM(L42:N42)</f>
        <v>0</v>
      </c>
      <c r="P42" s="92">
        <f>'Rider Rates'!$D$73</f>
        <v>44531</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190</v>
      </c>
      <c r="B43" s="72"/>
      <c r="C43" s="72"/>
      <c r="D43" s="349">
        <f>D14</f>
        <v>0</v>
      </c>
      <c r="E43" s="97" t="s">
        <v>13</v>
      </c>
      <c r="F43" s="84" t="s">
        <v>80</v>
      </c>
      <c r="G43" s="100"/>
      <c r="H43" s="100"/>
      <c r="I43" s="90">
        <f>'Rider Rates'!$B$83</f>
        <v>0</v>
      </c>
      <c r="J43" s="90">
        <f>SUM(G43:I43)</f>
        <v>0</v>
      </c>
      <c r="K43" s="94" t="s">
        <v>85</v>
      </c>
      <c r="L43" s="89"/>
      <c r="M43" s="89"/>
      <c r="N43" s="189">
        <f>ROUND($D43*I43,2)</f>
        <v>0</v>
      </c>
      <c r="O43" s="128">
        <f>SUM(L43:N43)</f>
        <v>0</v>
      </c>
      <c r="P43" s="92">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100</v>
      </c>
      <c r="B44" s="72"/>
      <c r="C44" s="72"/>
      <c r="D44" s="217">
        <f>$N$29</f>
        <v>825</v>
      </c>
      <c r="E44" s="97" t="s">
        <v>92</v>
      </c>
      <c r="F44" s="84" t="s">
        <v>80</v>
      </c>
      <c r="G44" s="117"/>
      <c r="H44" s="118"/>
      <c r="I44" s="119">
        <f>'Rider Rates'!$B$87</f>
        <v>3.5344300000000002E-2</v>
      </c>
      <c r="J44" s="119">
        <f>SUM(H44:I44)</f>
        <v>3.5344300000000002E-2</v>
      </c>
      <c r="K44" s="94"/>
      <c r="L44" s="89"/>
      <c r="M44" s="89"/>
      <c r="N44" s="89">
        <f>ROUND(N$29*I44,2)</f>
        <v>29.16</v>
      </c>
      <c r="O44" s="128">
        <f t="shared" si="1"/>
        <v>29.16</v>
      </c>
      <c r="P44" s="92">
        <f>'Rider Rates'!$D$87</f>
        <v>45929</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101</v>
      </c>
      <c r="B45" s="72"/>
      <c r="C45" s="72"/>
      <c r="D45" s="217">
        <f>$N$29</f>
        <v>825</v>
      </c>
      <c r="E45" s="97" t="s">
        <v>92</v>
      </c>
      <c r="F45" s="84" t="s">
        <v>80</v>
      </c>
      <c r="G45" s="120"/>
      <c r="H45" s="85"/>
      <c r="I45" s="119">
        <f>'Rider Rates'!$B$89</f>
        <v>7.8822199999999995E-2</v>
      </c>
      <c r="J45" s="119">
        <f>SUM(H45:I45)</f>
        <v>7.8822199999999995E-2</v>
      </c>
      <c r="K45" s="94"/>
      <c r="L45" s="89"/>
      <c r="M45" s="89"/>
      <c r="N45" s="89">
        <f>ROUND(N$29*I45,2)</f>
        <v>65.03</v>
      </c>
      <c r="O45" s="128">
        <f t="shared" si="1"/>
        <v>65.03</v>
      </c>
      <c r="P45" s="92">
        <f>'Rider Rates'!$D$89</f>
        <v>45987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102</v>
      </c>
      <c r="B46" s="72"/>
      <c r="C46" s="72"/>
      <c r="D46" s="113"/>
      <c r="E46" s="97" t="s">
        <v>55</v>
      </c>
      <c r="F46" s="84"/>
      <c r="G46" s="120"/>
      <c r="H46" s="85"/>
      <c r="I46" s="121">
        <f>'Rider Rates'!$B$93</f>
        <v>21.84</v>
      </c>
      <c r="J46" s="121">
        <f>SUM(G46:I46)</f>
        <v>21.84</v>
      </c>
      <c r="K46" s="94"/>
      <c r="L46" s="89"/>
      <c r="M46" s="89"/>
      <c r="N46" s="89">
        <f>I46</f>
        <v>21.84</v>
      </c>
      <c r="O46" s="89">
        <f>SUM(L46:N46)</f>
        <v>21.84</v>
      </c>
      <c r="P46" s="92">
        <f>'Rider Rates'!$D$93</f>
        <v>46022</v>
      </c>
    </row>
    <row r="47" spans="1:221" x14ac:dyDescent="0.2">
      <c r="A47" s="76" t="s">
        <v>104</v>
      </c>
      <c r="B47" s="72"/>
      <c r="C47" s="72"/>
      <c r="D47" s="217">
        <f>$N$29</f>
        <v>825</v>
      </c>
      <c r="E47" s="97" t="s">
        <v>92</v>
      </c>
      <c r="F47" s="84" t="s">
        <v>80</v>
      </c>
      <c r="G47" s="120"/>
      <c r="H47" s="85"/>
      <c r="I47" s="119">
        <f>'Rider Rates'!$B$107</f>
        <v>0.24079249999999999</v>
      </c>
      <c r="J47" s="119">
        <f>SUM(H47:I47)</f>
        <v>0.24079249999999999</v>
      </c>
      <c r="K47" s="94"/>
      <c r="L47" s="89"/>
      <c r="M47" s="89"/>
      <c r="N47" s="89">
        <f>ROUND(N$29*I47,2)</f>
        <v>198.65</v>
      </c>
      <c r="O47" s="89">
        <f t="shared" si="1"/>
        <v>198.65</v>
      </c>
      <c r="P47" s="92">
        <f>'Rider Rates'!$D$107</f>
        <v>45987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105</v>
      </c>
      <c r="B48" s="72"/>
      <c r="C48" s="72"/>
      <c r="D48" s="113"/>
      <c r="E48" s="97" t="s">
        <v>55</v>
      </c>
      <c r="F48" s="84"/>
      <c r="G48" s="120"/>
      <c r="H48" s="85"/>
      <c r="I48" s="123">
        <f>'Rider Rates'!B123</f>
        <v>0.99</v>
      </c>
      <c r="J48" s="121">
        <f t="shared" ref="J48:J53" si="2">SUM(G48:I48)</f>
        <v>0.99</v>
      </c>
      <c r="K48" s="94"/>
      <c r="L48" s="89"/>
      <c r="M48" s="89"/>
      <c r="N48" s="125">
        <f>I48</f>
        <v>0.99</v>
      </c>
      <c r="O48" s="89">
        <f t="shared" ref="O48:O53" si="3">SUM(L48:N48)</f>
        <v>0.99</v>
      </c>
      <c r="P48" s="92">
        <f>'Rider Rates'!D123</f>
        <v>45958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 t="shared" si="2"/>
        <v>0</v>
      </c>
      <c r="K49" s="94" t="s">
        <v>85</v>
      </c>
      <c r="L49" s="89"/>
      <c r="M49" s="89"/>
      <c r="N49" s="89">
        <f>D49*I49</f>
        <v>0</v>
      </c>
      <c r="O49" s="89">
        <f t="shared" si="3"/>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 t="shared" si="2"/>
        <v>0</v>
      </c>
      <c r="K50" s="94" t="s">
        <v>85</v>
      </c>
      <c r="L50" s="196"/>
      <c r="M50" s="196"/>
      <c r="N50" s="196">
        <f>IF(D50*J50&gt;'Rider Rates'!$C$127,'Rider Rates'!$C$127,D50*J50)</f>
        <v>0</v>
      </c>
      <c r="O50" s="196">
        <f t="shared" si="3"/>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 t="shared" si="2"/>
        <v>0</v>
      </c>
      <c r="K51" s="94" t="s">
        <v>85</v>
      </c>
      <c r="L51" s="196"/>
      <c r="M51" s="196"/>
      <c r="N51" s="196">
        <f>D51*J51</f>
        <v>0</v>
      </c>
      <c r="O51" s="196">
        <f t="shared" si="3"/>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 t="shared" si="2"/>
        <v>0</v>
      </c>
      <c r="K52" s="94" t="s">
        <v>85</v>
      </c>
      <c r="L52" s="89"/>
      <c r="M52" s="89"/>
      <c r="N52" s="89">
        <f>D52*J52</f>
        <v>0</v>
      </c>
      <c r="O52" s="89">
        <f t="shared" si="3"/>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 t="shared" si="2"/>
        <v>0</v>
      </c>
      <c r="K53" s="94"/>
      <c r="L53" s="128"/>
      <c r="M53" s="128"/>
      <c r="N53" s="128">
        <f>J53</f>
        <v>0</v>
      </c>
      <c r="O53" s="128">
        <f t="shared" si="3"/>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SUM(L33:L54)</f>
        <v>0</v>
      </c>
      <c r="M55" s="105">
        <f>SUM(M33:M54)</f>
        <v>0</v>
      </c>
      <c r="N55" s="105">
        <f>SUM(N33:N54)</f>
        <v>315.67</v>
      </c>
      <c r="O55" s="105">
        <f>SUM(O33:O54)</f>
        <v>315.67</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L29+L55</f>
        <v>0</v>
      </c>
      <c r="M57" s="219">
        <f>M29+M55</f>
        <v>0</v>
      </c>
      <c r="N57" s="219">
        <f>N29+N55</f>
        <v>1140.67</v>
      </c>
      <c r="O57" s="219">
        <f>O29+O55</f>
        <v>1140.67</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O25+O27+O55</f>
        <v>1140.67</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1140.67</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31"/>
    </row>
    <row r="74" spans="1:16" x14ac:dyDescent="0.2">
      <c r="A74" s="431"/>
    </row>
    <row r="75" spans="1:16" x14ac:dyDescent="0.2">
      <c r="A75" s="431"/>
    </row>
    <row r="76" spans="1:16" x14ac:dyDescent="0.2">
      <c r="A76" s="431"/>
    </row>
    <row r="77" spans="1:16" x14ac:dyDescent="0.2">
      <c r="A77" s="431"/>
    </row>
    <row r="78" spans="1:16" x14ac:dyDescent="0.2">
      <c r="A78" s="431"/>
    </row>
    <row r="79" spans="1:16" x14ac:dyDescent="0.2">
      <c r="A79" s="431"/>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sheetData>
  <sheetProtection algorithmName="SHA-512" hashValue="Z+BNVjhN6XtM2cjKGaqomgUQcFTHk0tIVPVCJmP1+glCOADRYIGWH4plpxJC7SpoSSZ3gPeMJbJVCidUqRNjxw==" saltValue="rYwdPyF0xeGBuzSNvJQa9g==" spinCount="100000" sheet="1" objects="1" scenarios="1"/>
  <mergeCells count="26">
    <mergeCell ref="A73:A87"/>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8674"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286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8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8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9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9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0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0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1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1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2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2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3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29CA1-5D2E-4F73-B213-E21FE0BB7B5A}">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227</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46051</v>
      </c>
      <c r="B6" s="76" t="s">
        <v>228</v>
      </c>
      <c r="C6" s="56"/>
      <c r="D6" s="56"/>
      <c r="E6" s="56"/>
      <c r="F6" s="56"/>
      <c r="G6" s="56"/>
      <c r="H6" s="56"/>
      <c r="I6" s="56"/>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2</v>
      </c>
      <c r="C10" s="63" t="str">
        <f>LOOKUP(B10,R10:AD10,R11:AD11)</f>
        <v>February</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$C$17*$C$20</f>
        <v>0</v>
      </c>
      <c r="E17" s="158" t="s">
        <v>204</v>
      </c>
      <c r="F17" s="160"/>
      <c r="K17" s="158"/>
      <c r="L17" s="158"/>
      <c r="M17" s="158"/>
      <c r="N17" s="158"/>
    </row>
    <row r="18" spans="1:30" x14ac:dyDescent="0.2">
      <c r="A18" s="158" t="s">
        <v>205</v>
      </c>
      <c r="B18" s="158"/>
      <c r="C18" s="206">
        <f>IF('Customer Info'!$B$19=0,0,ROUND(MAX(ROUND('Customer Info'!$B$19*'GS DCT SEC OAD'!C20,1),ROUND('Customer Info'!$B$20*'GS DCT SEC OAD'!C20,1))/'Customer Info'!$D$30,1))</f>
        <v>0</v>
      </c>
      <c r="D18" s="206">
        <f>$C$18</f>
        <v>0</v>
      </c>
      <c r="E18" s="158" t="s">
        <v>206</v>
      </c>
      <c r="F18" s="160"/>
      <c r="K18" s="158"/>
      <c r="L18" s="158"/>
      <c r="M18" s="158"/>
      <c r="N18" s="158"/>
    </row>
    <row r="19" spans="1:30" x14ac:dyDescent="0.2">
      <c r="A19" s="158" t="s">
        <v>207</v>
      </c>
      <c r="B19" s="158"/>
      <c r="C19" s="159"/>
      <c r="D19" s="206">
        <f>MAX(100,ROUND(1.15*(MAX('Customer Info'!$B$19*'GS DCT SEC OAD'!C20,'Customer Info'!$B$20*'GS DCT SEC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2" t="s">
        <v>2</v>
      </c>
      <c r="E21" s="452"/>
      <c r="F21" s="452"/>
      <c r="G21" s="452"/>
      <c r="H21" s="452"/>
      <c r="K21" s="158"/>
      <c r="L21" s="158"/>
      <c r="M21" s="158"/>
      <c r="N21" s="158"/>
      <c r="O21" s="188"/>
    </row>
    <row r="22" spans="1:30" x14ac:dyDescent="0.2">
      <c r="A22" s="158" t="s">
        <v>2</v>
      </c>
      <c r="B22" s="158"/>
      <c r="C22" s="210" t="s">
        <v>2</v>
      </c>
      <c r="D22" s="452" t="s">
        <v>2</v>
      </c>
      <c r="E22" s="452"/>
      <c r="F22" s="452"/>
      <c r="G22" s="452"/>
      <c r="H22" s="452"/>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4" t="s">
        <v>71</v>
      </c>
      <c r="H24" s="445"/>
      <c r="I24" s="445"/>
      <c r="J24" s="446"/>
      <c r="K24" s="163"/>
      <c r="L24" s="447" t="s">
        <v>72</v>
      </c>
      <c r="M24" s="447"/>
      <c r="N24" s="447"/>
      <c r="O24" s="447"/>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9.4</v>
      </c>
      <c r="J26" s="189">
        <f>SUM(G26:I26)</f>
        <v>9.4</v>
      </c>
      <c r="L26" s="190"/>
      <c r="M26" s="190"/>
      <c r="N26" s="190">
        <f>I26</f>
        <v>9.4</v>
      </c>
      <c r="O26" s="128">
        <f>SUM(L26:N26)</f>
        <v>9.4</v>
      </c>
      <c r="P26" s="92">
        <v>44531</v>
      </c>
    </row>
    <row r="27" spans="1:30" x14ac:dyDescent="0.2">
      <c r="A27" t="s">
        <v>165</v>
      </c>
      <c r="D27" s="332">
        <f>D16</f>
        <v>0</v>
      </c>
      <c r="E27" s="97" t="s">
        <v>19</v>
      </c>
      <c r="F27" s="84" t="s">
        <v>80</v>
      </c>
      <c r="G27" s="191"/>
      <c r="H27" s="189"/>
      <c r="I27" s="189"/>
      <c r="J27" s="191"/>
      <c r="K27" s="94" t="s">
        <v>85</v>
      </c>
      <c r="L27" s="189"/>
      <c r="M27" s="190"/>
      <c r="N27" s="189"/>
      <c r="O27" s="128"/>
      <c r="P27" s="92"/>
    </row>
    <row r="28" spans="1:30" x14ac:dyDescent="0.2">
      <c r="A28" t="s">
        <v>208</v>
      </c>
      <c r="D28" s="349">
        <f>ROUND(MAX(D14,D15,IF('Customer Info'!B14&lt;25001,0,IF('Customer Info'!B14&lt;75001,15000+(('Customer Info'!B14-25000)*0.85),IF('Customer Info'!B14&lt;75000,0,IF(((57500+('Customer Info'!B14-75000))/'Customer Info'!B14)&gt;85%,'Customer Info'!B14*85%,57500+('Customer Info'!B14-75000))))),('Customer Info'!B16)*0.85),1)</f>
        <v>0</v>
      </c>
      <c r="E28" s="158" t="s">
        <v>13</v>
      </c>
      <c r="F28" s="1" t="s">
        <v>80</v>
      </c>
      <c r="G28" s="337"/>
      <c r="H28" s="337"/>
      <c r="I28" s="337">
        <v>7.01</v>
      </c>
      <c r="J28" s="337">
        <f>SUM(G28:I28)</f>
        <v>7.01</v>
      </c>
      <c r="K28" s="154" t="s">
        <v>162</v>
      </c>
      <c r="L28" s="189"/>
      <c r="M28" s="189"/>
      <c r="N28" s="189">
        <f>ROUND($D28*I28,2)</f>
        <v>0</v>
      </c>
      <c r="O28" s="128">
        <f>SUM(L28:N28)</f>
        <v>0</v>
      </c>
      <c r="P28" s="92">
        <v>44531</v>
      </c>
    </row>
    <row r="29" spans="1:30" x14ac:dyDescent="0.2">
      <c r="A29" t="s">
        <v>209</v>
      </c>
      <c r="D29" s="336">
        <f>IF(D18&lt;=100,0,ROUND(IF(D18-D19&gt;0,D18-D19),1))</f>
        <v>0</v>
      </c>
      <c r="E29" s="158" t="s">
        <v>210</v>
      </c>
      <c r="F29" s="1" t="s">
        <v>80</v>
      </c>
      <c r="G29" s="338"/>
      <c r="H29" s="337"/>
      <c r="I29" s="337">
        <v>1.25</v>
      </c>
      <c r="J29" s="338">
        <f>SUM(G29:I29)</f>
        <v>1.25</v>
      </c>
      <c r="K29" s="154" t="s">
        <v>162</v>
      </c>
      <c r="L29" s="189"/>
      <c r="M29" s="189"/>
      <c r="N29" s="189">
        <f>ROUND($D29*I29,2)</f>
        <v>0</v>
      </c>
      <c r="O29" s="189">
        <f>SUM(L29:N29)</f>
        <v>0</v>
      </c>
      <c r="P29" s="92">
        <v>44531</v>
      </c>
    </row>
    <row r="30" spans="1:30" x14ac:dyDescent="0.2">
      <c r="A30" s="144" t="s">
        <v>82</v>
      </c>
      <c r="B30" s="144"/>
      <c r="C30" s="144"/>
      <c r="D30" s="340"/>
      <c r="E30" s="170"/>
      <c r="F30" s="144"/>
      <c r="G30" s="144"/>
      <c r="H30" s="144"/>
      <c r="I30" s="144"/>
      <c r="J30" s="144"/>
      <c r="K30" s="172"/>
      <c r="L30" s="171"/>
      <c r="M30" s="171"/>
      <c r="N30" s="171">
        <f>SUM(N26:N29)</f>
        <v>9.4</v>
      </c>
      <c r="O30" s="171">
        <f>SUM(O26:O29)</f>
        <v>9.4</v>
      </c>
    </row>
    <row r="31" spans="1:30" x14ac:dyDescent="0.2">
      <c r="A31" s="192"/>
      <c r="B31" s="192"/>
      <c r="C31" s="193"/>
      <c r="D31" s="343"/>
      <c r="E31" s="193"/>
      <c r="F31" s="193"/>
      <c r="G31" s="194"/>
      <c r="H31" s="194"/>
      <c r="I31" s="194"/>
      <c r="J31" s="194"/>
      <c r="K31" s="192"/>
      <c r="L31" s="192"/>
      <c r="M31" s="192"/>
      <c r="N31" s="192"/>
      <c r="O31" s="192"/>
      <c r="P31" s="192"/>
    </row>
    <row r="32" spans="1:30" x14ac:dyDescent="0.2">
      <c r="A32" s="155" t="s">
        <v>83</v>
      </c>
      <c r="D32" s="332"/>
      <c r="E32" s="4"/>
      <c r="K32" s="154"/>
      <c r="L32" s="154"/>
      <c r="M32" s="154"/>
      <c r="N32" s="154"/>
      <c r="O32" s="213"/>
      <c r="P32" s="213"/>
    </row>
    <row r="33" spans="1:221" x14ac:dyDescent="0.2">
      <c r="A33" s="144"/>
      <c r="D33" s="332"/>
      <c r="E33" s="4"/>
      <c r="K33" s="154"/>
      <c r="L33" s="154"/>
      <c r="M33" s="154"/>
      <c r="N33" s="154"/>
      <c r="O33" s="213"/>
    </row>
    <row r="34" spans="1:221" x14ac:dyDescent="0.2">
      <c r="A34" s="72" t="s">
        <v>84</v>
      </c>
      <c r="D34" s="4">
        <f>IF($C$16&lt;0,0,IF($C$16&gt;833000,833000,$C$16))</f>
        <v>0</v>
      </c>
      <c r="E34" s="152" t="s">
        <v>19</v>
      </c>
      <c r="F34" s="1" t="s">
        <v>80</v>
      </c>
      <c r="G34" s="167"/>
      <c r="H34" s="191"/>
      <c r="I34" s="100">
        <f>'Rider Rates'!$B$4</f>
        <v>5.5215000000000004E-3</v>
      </c>
      <c r="J34" s="214">
        <f>SUM(G34:I34)</f>
        <v>5.5215000000000004E-3</v>
      </c>
      <c r="K34" s="154" t="s">
        <v>85</v>
      </c>
      <c r="L34" s="189"/>
      <c r="M34" s="189"/>
      <c r="N34" s="189">
        <f>ROUND($D34*I34,2)</f>
        <v>0</v>
      </c>
      <c r="O34" s="189">
        <f>SUM(L34:N34)</f>
        <v>0</v>
      </c>
      <c r="P34" s="92">
        <f>'Rider Rates'!$D$4</f>
        <v>46022</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46022</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9.4</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Rates'!$B$59</f>
        <v>4.3439999999999999E-4</v>
      </c>
      <c r="I41" s="100"/>
      <c r="J41" s="100">
        <f>SUM(G41:I41)</f>
        <v>4.3439999999999999E-4</v>
      </c>
      <c r="K41" s="94" t="s">
        <v>85</v>
      </c>
      <c r="L41" s="89"/>
      <c r="M41" s="89">
        <f>ROUND(D41*H41,2)</f>
        <v>0</v>
      </c>
      <c r="N41" s="116"/>
      <c r="O41" s="89">
        <f t="shared" si="0"/>
        <v>0</v>
      </c>
      <c r="P41" s="92">
        <f>'Rider Rates'!$D$59</f>
        <v>45929</v>
      </c>
    </row>
    <row r="42" spans="1:221" x14ac:dyDescent="0.2">
      <c r="A42" s="76" t="s">
        <v>97</v>
      </c>
      <c r="B42" s="72"/>
      <c r="C42" s="72"/>
      <c r="D42" s="349">
        <f>ROUND(MAX(D14,IF('Customer Info'!B14&lt;25001,0,IF('Customer Info'!B14&lt;75001,15000+(('Customer Info'!B14-25000)*0.85),IF('Customer Info'!B14&lt;75000,0,IF(((57500+('Customer Info'!B14-75000))/'Customer Info'!B14)&gt;85%,'Customer Info'!B14*85%,575000+('Customer Info'!B14-75000))))),('Customer Info'!B16)*0.85),1)</f>
        <v>0</v>
      </c>
      <c r="E42" s="152" t="s">
        <v>211</v>
      </c>
      <c r="F42" s="1" t="s">
        <v>80</v>
      </c>
      <c r="G42" s="100"/>
      <c r="H42" s="90">
        <f>'Rider Rates'!$B$64</f>
        <v>7.49</v>
      </c>
      <c r="I42" s="100"/>
      <c r="J42" s="90">
        <f>SUM(G42:I42)</f>
        <v>7.49</v>
      </c>
      <c r="K42" s="94" t="s">
        <v>162</v>
      </c>
      <c r="L42" s="89"/>
      <c r="M42" s="89">
        <f>ROUND(D42*H42,2)</f>
        <v>0</v>
      </c>
      <c r="N42" s="116"/>
      <c r="O42" s="89">
        <f t="shared" si="0"/>
        <v>0</v>
      </c>
      <c r="P42" s="92">
        <f>'Rider Rates'!$D$64</f>
        <v>45929</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9.4</v>
      </c>
      <c r="E45" s="97" t="s">
        <v>92</v>
      </c>
      <c r="F45" s="84" t="s">
        <v>80</v>
      </c>
      <c r="G45" s="117"/>
      <c r="H45" s="118"/>
      <c r="I45" s="119">
        <f>'Rider Rates'!$B$87</f>
        <v>3.5344300000000002E-2</v>
      </c>
      <c r="J45" s="119">
        <f>SUM(H45:I45)</f>
        <v>3.5344300000000002E-2</v>
      </c>
      <c r="K45" s="94"/>
      <c r="L45" s="89"/>
      <c r="M45" s="89"/>
      <c r="N45" s="89">
        <f>ROUND(N$30*I45,2)</f>
        <v>0.33</v>
      </c>
      <c r="O45" s="128">
        <f t="shared" si="0"/>
        <v>0.33</v>
      </c>
      <c r="P45" s="92">
        <f>'Rider Rates'!$D$87</f>
        <v>45929</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9.4</v>
      </c>
      <c r="E46" s="97" t="s">
        <v>92</v>
      </c>
      <c r="F46" s="84" t="s">
        <v>80</v>
      </c>
      <c r="G46" s="120"/>
      <c r="H46" s="85"/>
      <c r="I46" s="119">
        <f>'Rider Rates'!$B$89</f>
        <v>7.8822199999999995E-2</v>
      </c>
      <c r="J46" s="119">
        <f>SUM(H46:I46)</f>
        <v>7.8822199999999995E-2</v>
      </c>
      <c r="K46" s="94"/>
      <c r="L46" s="89"/>
      <c r="M46" s="89"/>
      <c r="N46" s="89">
        <f>ROUND(N$30*I46,2)</f>
        <v>0.74</v>
      </c>
      <c r="O46" s="128">
        <f t="shared" si="0"/>
        <v>0.74</v>
      </c>
      <c r="P46" s="92">
        <f>'Rider Rates'!$D$89</f>
        <v>45987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21.84</v>
      </c>
      <c r="J47" s="121">
        <f>SUM(G47:I47)</f>
        <v>21.84</v>
      </c>
      <c r="K47" s="94"/>
      <c r="L47" s="89"/>
      <c r="M47" s="89"/>
      <c r="N47" s="89">
        <f>I47</f>
        <v>21.84</v>
      </c>
      <c r="O47" s="89">
        <f>SUM(L47:N47)</f>
        <v>21.84</v>
      </c>
      <c r="P47" s="92">
        <f>'Rider Rates'!$D$93</f>
        <v>46022</v>
      </c>
    </row>
    <row r="48" spans="1:221" x14ac:dyDescent="0.2">
      <c r="A48" s="76" t="s">
        <v>104</v>
      </c>
      <c r="B48" s="72"/>
      <c r="C48" s="72"/>
      <c r="D48" s="217">
        <f>$N$30</f>
        <v>9.4</v>
      </c>
      <c r="E48" s="97" t="s">
        <v>92</v>
      </c>
      <c r="F48" s="84" t="s">
        <v>80</v>
      </c>
      <c r="G48" s="120"/>
      <c r="H48" s="85"/>
      <c r="I48" s="119">
        <f>'Rider Rates'!$B$107</f>
        <v>0.24079249999999999</v>
      </c>
      <c r="J48" s="119">
        <f>SUM(H48:I48)</f>
        <v>0.24079249999999999</v>
      </c>
      <c r="K48" s="94"/>
      <c r="L48" s="89"/>
      <c r="M48" s="89"/>
      <c r="N48" s="89">
        <f>ROUND(N$30*I48,2)</f>
        <v>2.2599999999999998</v>
      </c>
      <c r="O48" s="89">
        <f t="shared" si="0"/>
        <v>2.2599999999999998</v>
      </c>
      <c r="P48" s="92">
        <f>'Rider Rates'!$D$107</f>
        <v>45987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0.99</v>
      </c>
      <c r="J49" s="121">
        <f t="shared" ref="J49:J54" si="1">SUM(G49:I49)</f>
        <v>0.99</v>
      </c>
      <c r="K49" s="94"/>
      <c r="L49" s="89"/>
      <c r="M49" s="89"/>
      <c r="N49" s="125">
        <f>I49</f>
        <v>0.99</v>
      </c>
      <c r="O49" s="89">
        <f t="shared" ref="O49:O54" si="2">SUM(L49:N49)</f>
        <v>0.99</v>
      </c>
      <c r="P49" s="92">
        <f>'Rider Rates'!D123</f>
        <v>45958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Rates'!$B$132</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26.16</v>
      </c>
      <c r="O56" s="105">
        <f>SUM(O34:O55)</f>
        <v>26.16</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35.56</v>
      </c>
      <c r="O58" s="219">
        <f>O30+O56</f>
        <v>35.56</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35.56</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35.56</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31"/>
    </row>
    <row r="75" spans="1:16" x14ac:dyDescent="0.2">
      <c r="A75" s="431"/>
    </row>
    <row r="76" spans="1:16" x14ac:dyDescent="0.2">
      <c r="A76" s="431"/>
    </row>
    <row r="77" spans="1:16" x14ac:dyDescent="0.2">
      <c r="A77" s="431"/>
    </row>
    <row r="78" spans="1:16" x14ac:dyDescent="0.2">
      <c r="A78" s="431"/>
    </row>
    <row r="79" spans="1:16" x14ac:dyDescent="0.2">
      <c r="A79" s="431"/>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sheetData>
  <sheetProtection algorithmName="SHA-512" hashValue="rmSjrEee/fIeE5qfbHa+J6blO7GooWy4rEumdOqK1nWbC1URqL289frfb1OYUoIRGnHWpuCFLqsKi7DgWscu8g==" saltValue="UpdaRRR5hjwES6SE+6n+g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7890"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3789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0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0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1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1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2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2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3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3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DB538-3B69-4BAC-A94B-D98F1ECDABFD}">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229</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46051</v>
      </c>
      <c r="B6" s="76" t="s">
        <v>230</v>
      </c>
      <c r="C6" s="229"/>
      <c r="D6" s="229"/>
      <c r="E6" s="229"/>
      <c r="F6" s="229"/>
      <c r="G6" s="229"/>
      <c r="H6" s="229"/>
      <c r="I6" s="229"/>
      <c r="J6" s="229"/>
      <c r="K6" s="229"/>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2</v>
      </c>
      <c r="C10" s="63" t="str">
        <f>LOOKUP(B10,R10:AD10,R11:AD11)</f>
        <v>February</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206">
        <f>IF('Customer Info'!$B$19=0,0,ROUND(MAX(ROUND('Customer Info'!$B$19*'GS DCT PRI OAD'!C20,1),ROUND('Customer Info'!$B$20*'GS DCT PRI OAD'!C20,1))/'Customer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206">
        <f>MAX(100,ROUND(1.15*(MAX('Customer Info'!$B$19*'GS DCT PRI OAD'!C20,'Customer Info'!$B$20*'GS DCT PRI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2" t="s">
        <v>2</v>
      </c>
      <c r="E21" s="452"/>
      <c r="F21" s="452"/>
      <c r="G21" s="452"/>
      <c r="H21" s="452"/>
      <c r="K21" s="158"/>
      <c r="L21" s="158"/>
      <c r="M21" s="158"/>
      <c r="N21" s="158"/>
      <c r="O21" s="188"/>
    </row>
    <row r="22" spans="1:30" x14ac:dyDescent="0.2">
      <c r="A22" s="158" t="s">
        <v>2</v>
      </c>
      <c r="B22" s="158"/>
      <c r="C22" s="210" t="s">
        <v>2</v>
      </c>
      <c r="D22" s="452" t="s">
        <v>2</v>
      </c>
      <c r="E22" s="452"/>
      <c r="F22" s="452"/>
      <c r="G22" s="452"/>
      <c r="H22" s="452"/>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4" t="s">
        <v>71</v>
      </c>
      <c r="H24" s="445"/>
      <c r="I24" s="445"/>
      <c r="J24" s="446"/>
      <c r="K24" s="163"/>
      <c r="L24" s="447" t="s">
        <v>72</v>
      </c>
      <c r="M24" s="447"/>
      <c r="N24" s="447"/>
      <c r="O24" s="447"/>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332">
        <f>D16</f>
        <v>0</v>
      </c>
      <c r="E27" s="97" t="s">
        <v>19</v>
      </c>
      <c r="F27" s="84" t="s">
        <v>80</v>
      </c>
      <c r="G27" s="191"/>
      <c r="H27" s="189"/>
      <c r="I27" s="189"/>
      <c r="J27" s="191"/>
      <c r="K27" s="94" t="s">
        <v>85</v>
      </c>
      <c r="L27" s="189"/>
      <c r="M27" s="190"/>
      <c r="N27" s="189"/>
      <c r="O27" s="128"/>
      <c r="P27" s="92"/>
    </row>
    <row r="28" spans="1:30" x14ac:dyDescent="0.2">
      <c r="A28" t="s">
        <v>208</v>
      </c>
      <c r="D28" s="349">
        <f>ROUND(MAX(D14,D15,IF('Customer Info'!B14&lt;25001,0,IF('Customer Info'!B14&lt;75001,15000+(('Customer Info'!B14-25000)*0.85),IF('Customer Info'!B14&lt;75000,0,IF(((57500+('Customer Info'!B14-75000))/'Customer Info'!B14)&gt;85%,'Customer Info'!B14*85%,57500+('Customer Info'!B14-75000))))),('Customer Info'!B16)*0.85),1)</f>
        <v>0</v>
      </c>
      <c r="E28" s="158" t="s">
        <v>13</v>
      </c>
      <c r="F28" s="1" t="s">
        <v>80</v>
      </c>
      <c r="G28" s="337"/>
      <c r="H28" s="337"/>
      <c r="I28" s="337">
        <v>6.33</v>
      </c>
      <c r="J28" s="337">
        <f>SUM(G28:I28)</f>
        <v>6.33</v>
      </c>
      <c r="K28" s="154" t="s">
        <v>162</v>
      </c>
      <c r="L28" s="189"/>
      <c r="M28" s="189"/>
      <c r="N28" s="189">
        <f>ROUND($D28*I28,2)</f>
        <v>0</v>
      </c>
      <c r="O28" s="128">
        <f>SUM(L28:N28)</f>
        <v>0</v>
      </c>
      <c r="P28" s="92">
        <v>45261</v>
      </c>
    </row>
    <row r="29" spans="1:30" x14ac:dyDescent="0.2">
      <c r="A29" t="s">
        <v>209</v>
      </c>
      <c r="D29" s="336">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5.5215000000000004E-3</v>
      </c>
      <c r="J34" s="214">
        <f>SUM(G34:I34)</f>
        <v>5.5215000000000004E-3</v>
      </c>
      <c r="K34" s="154" t="s">
        <v>85</v>
      </c>
      <c r="L34" s="189"/>
      <c r="M34" s="189"/>
      <c r="N34" s="189">
        <f>ROUND($D34*I34,2)</f>
        <v>0</v>
      </c>
      <c r="O34" s="189">
        <f>SUM(L34:N34)</f>
        <v>0</v>
      </c>
      <c r="P34" s="92">
        <f>'Rider Rates'!$D$4</f>
        <v>46022</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46022</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Rates'!B60</f>
        <v>4.1980000000000001E-4</v>
      </c>
      <c r="I41" s="100"/>
      <c r="J41" s="100">
        <f>SUM(G41:I41)</f>
        <v>4.1980000000000001E-4</v>
      </c>
      <c r="K41" s="94" t="s">
        <v>85</v>
      </c>
      <c r="L41" s="89"/>
      <c r="M41" s="89">
        <f>ROUND(D41*H41,2)</f>
        <v>0</v>
      </c>
      <c r="N41" s="116"/>
      <c r="O41" s="89">
        <f t="shared" si="0"/>
        <v>0</v>
      </c>
      <c r="P41" s="92">
        <f>'Rider Rates'!$D$59</f>
        <v>45929</v>
      </c>
    </row>
    <row r="42" spans="1:221" x14ac:dyDescent="0.2">
      <c r="A42" s="76" t="s">
        <v>97</v>
      </c>
      <c r="B42" s="72"/>
      <c r="C42" s="72"/>
      <c r="D42" s="349">
        <f>ROUND(MAX(D14,IF('Customer Info'!B14&lt;25001,0,IF('Customer Info'!B14&lt;75001,15000+(('Customer Info'!B14-25000)*0.85),IF('Customer Info'!B14&lt;75000,0,IF(((57500+('Customer Info'!B14-75000))/'Customer Info'!B14)&gt;85%,'Customer Info'!B14*85%,575000+('Customer Info'!B14-75000))))),('Customer Info'!B16)*0.85),1)</f>
        <v>0</v>
      </c>
      <c r="E42" s="152" t="s">
        <v>211</v>
      </c>
      <c r="F42" s="1" t="s">
        <v>80</v>
      </c>
      <c r="G42" s="100"/>
      <c r="H42" s="90">
        <f>'Rider Rates'!B65</f>
        <v>8.67</v>
      </c>
      <c r="I42" s="100"/>
      <c r="J42" s="90">
        <f>SUM(G42:I42)</f>
        <v>8.67</v>
      </c>
      <c r="K42" s="94" t="s">
        <v>162</v>
      </c>
      <c r="L42" s="89"/>
      <c r="M42" s="89">
        <f>ROUND(D42*H42,2)</f>
        <v>0</v>
      </c>
      <c r="N42" s="116"/>
      <c r="O42" s="89">
        <f t="shared" si="0"/>
        <v>0</v>
      </c>
      <c r="P42" s="92">
        <f>'Rider Rates'!$D$64</f>
        <v>45929</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138.5</v>
      </c>
      <c r="E45" s="97" t="s">
        <v>92</v>
      </c>
      <c r="F45" s="84" t="s">
        <v>80</v>
      </c>
      <c r="G45" s="117"/>
      <c r="H45" s="118"/>
      <c r="I45" s="119">
        <f>'Rider Rates'!$B$87</f>
        <v>3.5344300000000002E-2</v>
      </c>
      <c r="J45" s="119">
        <f>SUM(H45:I45)</f>
        <v>3.5344300000000002E-2</v>
      </c>
      <c r="K45" s="94"/>
      <c r="L45" s="89"/>
      <c r="M45" s="89"/>
      <c r="N45" s="89">
        <f>ROUND(N$30*I45,2)</f>
        <v>4.9000000000000004</v>
      </c>
      <c r="O45" s="128">
        <f t="shared" si="0"/>
        <v>4.9000000000000004</v>
      </c>
      <c r="P45" s="92">
        <f>'Rider Rates'!$D$87</f>
        <v>45929</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138.5</v>
      </c>
      <c r="E46" s="97" t="s">
        <v>92</v>
      </c>
      <c r="F46" s="84" t="s">
        <v>80</v>
      </c>
      <c r="G46" s="120"/>
      <c r="H46" s="85"/>
      <c r="I46" s="119">
        <f>'Rider Rates'!$B$89</f>
        <v>7.8822199999999995E-2</v>
      </c>
      <c r="J46" s="119">
        <f>SUM(H46:I46)</f>
        <v>7.8822199999999995E-2</v>
      </c>
      <c r="K46" s="94"/>
      <c r="L46" s="89"/>
      <c r="M46" s="89"/>
      <c r="N46" s="89">
        <f>ROUND(N$30*I46,2)</f>
        <v>10.92</v>
      </c>
      <c r="O46" s="128">
        <f t="shared" si="0"/>
        <v>10.92</v>
      </c>
      <c r="P46" s="92">
        <f>'Rider Rates'!$D$89</f>
        <v>45987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21.84</v>
      </c>
      <c r="J47" s="121">
        <f>SUM(G47:I47)</f>
        <v>21.84</v>
      </c>
      <c r="K47" s="94"/>
      <c r="L47" s="89"/>
      <c r="M47" s="89"/>
      <c r="N47" s="89">
        <f>I47</f>
        <v>21.84</v>
      </c>
      <c r="O47" s="89">
        <f>SUM(L47:N47)</f>
        <v>21.84</v>
      </c>
      <c r="P47" s="92">
        <f>'Rider Rates'!$D$93</f>
        <v>46022</v>
      </c>
    </row>
    <row r="48" spans="1:221" x14ac:dyDescent="0.2">
      <c r="A48" s="76" t="s">
        <v>104</v>
      </c>
      <c r="B48" s="72"/>
      <c r="C48" s="72"/>
      <c r="D48" s="217">
        <f>$N$30</f>
        <v>138.5</v>
      </c>
      <c r="E48" s="97" t="s">
        <v>92</v>
      </c>
      <c r="F48" s="84" t="s">
        <v>80</v>
      </c>
      <c r="G48" s="120"/>
      <c r="H48" s="85"/>
      <c r="I48" s="119">
        <f>'Rider Rates'!$B$107</f>
        <v>0.24079249999999999</v>
      </c>
      <c r="J48" s="119">
        <f>SUM(H48:I48)</f>
        <v>0.24079249999999999</v>
      </c>
      <c r="K48" s="94"/>
      <c r="L48" s="89"/>
      <c r="M48" s="89"/>
      <c r="N48" s="89">
        <f>ROUND(N$30*I48,2)</f>
        <v>33.35</v>
      </c>
      <c r="O48" s="89">
        <f t="shared" si="0"/>
        <v>33.35</v>
      </c>
      <c r="P48" s="92">
        <f>'Rider Rates'!$D$107</f>
        <v>45987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0.99</v>
      </c>
      <c r="J49" s="121">
        <f t="shared" ref="J49:J54" si="1">SUM(G49:I49)</f>
        <v>0.99</v>
      </c>
      <c r="K49" s="94"/>
      <c r="L49" s="89"/>
      <c r="M49" s="89"/>
      <c r="N49" s="125">
        <f>I49</f>
        <v>0.99</v>
      </c>
      <c r="O49" s="89">
        <f t="shared" ref="O49:O54" si="2">SUM(L49:N49)</f>
        <v>0.99</v>
      </c>
      <c r="P49" s="92">
        <f>'Rider Rates'!D123</f>
        <v>45958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Rates'!$B$134</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71.999999999999986</v>
      </c>
      <c r="O56" s="105">
        <f>SUM(O34:O55)</f>
        <v>71.999999999999986</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210.5</v>
      </c>
      <c r="O58" s="219">
        <f>O30+O56</f>
        <v>210.5</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210.5</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210.5</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31"/>
    </row>
    <row r="75" spans="1:16" x14ac:dyDescent="0.2">
      <c r="A75" s="431"/>
    </row>
    <row r="76" spans="1:16" x14ac:dyDescent="0.2">
      <c r="A76" s="431"/>
    </row>
    <row r="77" spans="1:16" x14ac:dyDescent="0.2">
      <c r="A77" s="431"/>
    </row>
    <row r="78" spans="1:16" x14ac:dyDescent="0.2">
      <c r="A78" s="431"/>
    </row>
    <row r="79" spans="1:16" x14ac:dyDescent="0.2">
      <c r="A79" s="431"/>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sheetData>
  <sheetProtection algorithmName="SHA-512" hashValue="HUE5uMY2wrm9Tm+kKNy7VKBOPx7gh7uc/tFfCMP/FkYBr2D6S1/RksSSVau6iyVp9i/CHgWLVZVio56PjRbxPw==" saltValue="Iy1iu1Pyo1F7enPpM/7BX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891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8914"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389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2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2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3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3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4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4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5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5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6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6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7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10A7D-FD4B-40B7-97F0-1E42AA237FD6}">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48" t="s">
        <v>50</v>
      </c>
      <c r="B1" s="448"/>
      <c r="C1" s="448"/>
      <c r="D1" s="448"/>
      <c r="E1" s="448"/>
      <c r="F1" s="448"/>
      <c r="G1" s="448"/>
      <c r="H1" s="448"/>
      <c r="I1" s="448"/>
      <c r="J1" s="448"/>
      <c r="K1" s="448"/>
      <c r="L1" s="448"/>
      <c r="M1" s="448"/>
      <c r="N1" s="448"/>
      <c r="O1" s="448"/>
      <c r="P1" s="448"/>
    </row>
    <row r="2" spans="1:256" ht="20.25" x14ac:dyDescent="0.3">
      <c r="A2" s="432" t="s">
        <v>138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432"/>
      <c r="HY2" s="432"/>
      <c r="HZ2" s="432"/>
      <c r="IA2" s="432"/>
      <c r="IB2" s="432"/>
      <c r="IC2" s="432"/>
      <c r="ID2" s="432"/>
      <c r="IE2" s="432"/>
      <c r="IF2" s="432"/>
      <c r="IG2" s="432"/>
      <c r="IH2" s="432"/>
      <c r="II2" s="432"/>
      <c r="IJ2" s="432"/>
      <c r="IK2" s="432"/>
      <c r="IL2" s="432"/>
      <c r="IM2" s="432"/>
      <c r="IN2" s="432"/>
      <c r="IO2" s="432"/>
      <c r="IP2" s="432"/>
      <c r="IQ2" s="432"/>
      <c r="IR2" s="432"/>
      <c r="IS2" s="432"/>
      <c r="IT2" s="432"/>
      <c r="IU2" s="432"/>
      <c r="IV2" s="432"/>
    </row>
    <row r="3" spans="1:256" ht="18" x14ac:dyDescent="0.25">
      <c r="A3" s="449" t="s">
        <v>231</v>
      </c>
      <c r="B3" s="449"/>
      <c r="C3" s="449"/>
      <c r="D3" s="449"/>
      <c r="E3" s="449"/>
      <c r="F3" s="449"/>
      <c r="G3" s="449"/>
      <c r="H3" s="449"/>
      <c r="I3" s="449"/>
      <c r="J3" s="449"/>
      <c r="K3" s="449"/>
      <c r="L3" s="449"/>
      <c r="M3" s="449"/>
      <c r="N3" s="449"/>
      <c r="O3" s="449"/>
      <c r="P3" s="449"/>
    </row>
    <row r="4" spans="1:256"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256" ht="15" x14ac:dyDescent="0.2">
      <c r="A5" s="55"/>
      <c r="B5" s="55"/>
      <c r="C5" s="55"/>
      <c r="D5" s="55"/>
      <c r="E5" s="55"/>
      <c r="F5" s="55"/>
      <c r="G5" s="55"/>
      <c r="H5" s="55"/>
      <c r="I5" s="55"/>
      <c r="J5" s="55"/>
      <c r="K5" s="55"/>
    </row>
    <row r="6" spans="1:256" x14ac:dyDescent="0.2">
      <c r="A6" s="56">
        <f ca="1">TODAY()</f>
        <v>46051</v>
      </c>
      <c r="B6" s="76" t="s">
        <v>232</v>
      </c>
      <c r="C6" s="229"/>
      <c r="D6" s="229"/>
      <c r="E6" s="229"/>
      <c r="F6" s="229"/>
      <c r="G6" s="229"/>
      <c r="H6" s="229"/>
      <c r="I6" s="229"/>
      <c r="J6" s="229"/>
      <c r="K6" s="229"/>
    </row>
    <row r="7" spans="1:256" ht="26.25" x14ac:dyDescent="0.4">
      <c r="A7" s="450"/>
      <c r="B7" s="450"/>
      <c r="C7" s="450"/>
      <c r="D7" s="450"/>
      <c r="E7" s="450"/>
      <c r="F7" s="450"/>
      <c r="G7" s="450"/>
      <c r="H7" s="450"/>
      <c r="I7" s="450"/>
      <c r="J7" s="450"/>
      <c r="K7" s="450"/>
      <c r="L7" s="450"/>
      <c r="M7" s="450"/>
      <c r="N7" s="450"/>
      <c r="O7" s="450"/>
      <c r="P7" s="450"/>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2</v>
      </c>
      <c r="C10" s="63" t="str">
        <f>LOOKUP(B10,R10:AD10,R11:AD11)</f>
        <v>February</v>
      </c>
      <c r="D10" s="64">
        <f>'Customer Info'!C9</f>
        <v>2026</v>
      </c>
      <c r="S10">
        <v>1</v>
      </c>
      <c r="T10">
        <v>2</v>
      </c>
      <c r="U10">
        <v>3</v>
      </c>
      <c r="V10">
        <v>4</v>
      </c>
      <c r="W10">
        <v>5</v>
      </c>
      <c r="X10">
        <v>6</v>
      </c>
      <c r="Y10">
        <v>7</v>
      </c>
      <c r="Z10">
        <v>8</v>
      </c>
      <c r="AA10">
        <v>9</v>
      </c>
      <c r="AB10">
        <v>10</v>
      </c>
      <c r="AC10">
        <v>11</v>
      </c>
      <c r="AD10">
        <v>12</v>
      </c>
    </row>
    <row r="11" spans="1:256" ht="15" customHeight="1" x14ac:dyDescent="0.2">
      <c r="A11" s="443"/>
      <c r="B11" s="443"/>
      <c r="C11" s="443"/>
      <c r="D11" s="443"/>
      <c r="E11" s="443"/>
      <c r="F11" s="443"/>
      <c r="G11" s="443"/>
      <c r="H11" s="443"/>
      <c r="I11" s="443"/>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0" x14ac:dyDescent="0.2">
      <c r="A17" s="158" t="s">
        <v>214</v>
      </c>
      <c r="B17" s="158"/>
      <c r="C17" s="159">
        <f>'Customer Info'!$B$27</f>
        <v>0</v>
      </c>
      <c r="D17" s="159">
        <f>C17*C19</f>
        <v>0</v>
      </c>
      <c r="E17" s="158" t="s">
        <v>215</v>
      </c>
      <c r="F17" s="160"/>
      <c r="K17" s="158"/>
      <c r="L17" s="158"/>
      <c r="M17" s="158"/>
      <c r="N17" s="158"/>
    </row>
    <row r="18" spans="1:30" x14ac:dyDescent="0.2">
      <c r="A18" s="158" t="s">
        <v>216</v>
      </c>
      <c r="B18" s="158"/>
      <c r="C18" s="159"/>
      <c r="D18" s="159">
        <f>IF((D17-(ROUND(MAX(D14,D15)*0.5,1)))&lt;0,0,(D17-(ROUND(MAX(D14,D15)*0.5,1))))</f>
        <v>0</v>
      </c>
      <c r="E18" s="158" t="s">
        <v>217</v>
      </c>
      <c r="F18" s="160"/>
      <c r="K18" s="158"/>
      <c r="L18" s="158"/>
      <c r="M18" s="158"/>
      <c r="N18" s="158"/>
    </row>
    <row r="19" spans="1:30"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0" x14ac:dyDescent="0.2">
      <c r="A20" s="158" t="s">
        <v>2</v>
      </c>
      <c r="B20" s="158"/>
      <c r="C20" s="210" t="s">
        <v>2</v>
      </c>
      <c r="D20" s="452" t="s">
        <v>2</v>
      </c>
      <c r="E20" s="452"/>
      <c r="F20" s="452"/>
      <c r="G20" s="452"/>
      <c r="H20" s="452"/>
      <c r="K20" s="158"/>
      <c r="L20" s="158"/>
      <c r="M20" s="158"/>
      <c r="N20" s="158"/>
      <c r="O20" s="188"/>
    </row>
    <row r="21" spans="1:30" x14ac:dyDescent="0.2">
      <c r="A21" s="158" t="s">
        <v>2</v>
      </c>
      <c r="B21" s="158"/>
      <c r="C21" s="210" t="s">
        <v>2</v>
      </c>
      <c r="D21" s="452" t="s">
        <v>2</v>
      </c>
      <c r="E21" s="452"/>
      <c r="F21" s="452"/>
      <c r="G21" s="452"/>
      <c r="H21" s="452"/>
      <c r="I21" s="57"/>
      <c r="J21" s="57"/>
      <c r="K21" s="158"/>
      <c r="L21" s="158"/>
      <c r="M21" s="158"/>
      <c r="N21" s="158"/>
      <c r="O21" s="188"/>
    </row>
    <row r="22" spans="1:30" x14ac:dyDescent="0.2">
      <c r="A22" s="158"/>
      <c r="B22" s="158"/>
      <c r="C22" s="160"/>
      <c r="D22" s="160"/>
      <c r="E22" s="160"/>
      <c r="F22" s="160"/>
      <c r="G22" s="57"/>
      <c r="H22" s="57"/>
      <c r="I22" s="57"/>
      <c r="J22" s="57"/>
      <c r="K22" s="158"/>
      <c r="L22" s="158"/>
      <c r="M22" s="158"/>
      <c r="N22" s="158"/>
      <c r="O22" s="158"/>
    </row>
    <row r="23" spans="1:30" x14ac:dyDescent="0.2">
      <c r="A23" s="162" t="s">
        <v>70</v>
      </c>
      <c r="B23" s="163"/>
      <c r="C23" s="163"/>
      <c r="D23" s="163"/>
      <c r="E23" s="163"/>
      <c r="F23" s="163"/>
      <c r="G23" s="444" t="s">
        <v>71</v>
      </c>
      <c r="H23" s="445"/>
      <c r="I23" s="445"/>
      <c r="J23" s="446"/>
      <c r="K23" s="163"/>
      <c r="L23" s="447" t="s">
        <v>72</v>
      </c>
      <c r="M23" s="447"/>
      <c r="N23" s="447"/>
      <c r="O23" s="447"/>
    </row>
    <row r="24" spans="1:30" x14ac:dyDescent="0.2">
      <c r="G24" s="164" t="s">
        <v>73</v>
      </c>
      <c r="H24" s="164" t="s">
        <v>74</v>
      </c>
      <c r="I24" s="164" t="s">
        <v>75</v>
      </c>
      <c r="J24" s="118" t="s">
        <v>76</v>
      </c>
      <c r="L24" s="165" t="s">
        <v>73</v>
      </c>
      <c r="M24" s="165" t="s">
        <v>74</v>
      </c>
      <c r="N24" s="165" t="s">
        <v>75</v>
      </c>
      <c r="O24" s="165" t="s">
        <v>76</v>
      </c>
      <c r="P24" s="166" t="s">
        <v>77</v>
      </c>
    </row>
    <row r="25" spans="1:30" x14ac:dyDescent="0.2">
      <c r="A25" t="s">
        <v>78</v>
      </c>
      <c r="G25" s="189"/>
      <c r="H25" s="189"/>
      <c r="I25" s="189">
        <f>IF(D14&gt;2000,3600,825)</f>
        <v>825</v>
      </c>
      <c r="J25" s="189">
        <f>SUM(G25:I25)</f>
        <v>825</v>
      </c>
      <c r="L25" s="190"/>
      <c r="M25" s="190"/>
      <c r="N25" s="190">
        <f>I25</f>
        <v>825</v>
      </c>
      <c r="O25" s="128">
        <f>SUM(L25:N25)</f>
        <v>825</v>
      </c>
      <c r="P25" s="92">
        <v>44531</v>
      </c>
    </row>
    <row r="26" spans="1:30" x14ac:dyDescent="0.2">
      <c r="A26" t="s">
        <v>165</v>
      </c>
      <c r="D26" s="4">
        <f>D16</f>
        <v>0</v>
      </c>
      <c r="E26" s="97" t="s">
        <v>19</v>
      </c>
      <c r="F26" s="84" t="s">
        <v>80</v>
      </c>
      <c r="G26" s="191"/>
      <c r="H26" s="189"/>
      <c r="I26" s="189"/>
      <c r="J26" s="191"/>
      <c r="K26" s="94" t="s">
        <v>85</v>
      </c>
      <c r="L26" s="189"/>
      <c r="M26" s="190"/>
      <c r="N26" s="189"/>
      <c r="O26" s="128"/>
      <c r="P26" s="92"/>
    </row>
    <row r="27" spans="1:30" x14ac:dyDescent="0.2">
      <c r="A27" t="s">
        <v>208</v>
      </c>
      <c r="D27" s="349">
        <f>ROUND(MAX(D14,D15,IF('Customer Info'!B14&lt;25001,0,IF('Customer Info'!B14&lt;75001,15000+(('Customer Info'!B14-25000)*0.85),IF('Customer Info'!B14&lt;75000,0,IF(((57500+('Customer Info'!B14-75000))/'Customer Info'!B14)&gt;85%,'Customer Info'!B14*85%,57500+('Customer Info'!B14-75000))))),('Customer Info'!B16)*0.85),1)</f>
        <v>0</v>
      </c>
      <c r="E27" s="158" t="s">
        <v>13</v>
      </c>
      <c r="F27" s="1" t="s">
        <v>80</v>
      </c>
      <c r="G27" s="337"/>
      <c r="H27" s="337"/>
      <c r="I27" s="337">
        <v>0</v>
      </c>
      <c r="J27" s="337">
        <f>SUM(G27:I27)</f>
        <v>0</v>
      </c>
      <c r="K27" s="154" t="s">
        <v>162</v>
      </c>
      <c r="L27" s="189"/>
      <c r="M27" s="189"/>
      <c r="N27" s="189">
        <f>ROUND($D27*I27,2)</f>
        <v>0</v>
      </c>
      <c r="O27" s="128">
        <f>SUM(L27:N27)</f>
        <v>0</v>
      </c>
      <c r="P27" s="92">
        <v>44531</v>
      </c>
    </row>
    <row r="28" spans="1:30"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row>
    <row r="29" spans="1:30" x14ac:dyDescent="0.2">
      <c r="A29" s="144" t="s">
        <v>82</v>
      </c>
      <c r="B29" s="144"/>
      <c r="C29" s="144"/>
      <c r="D29" s="170"/>
      <c r="E29" s="170"/>
      <c r="F29" s="144"/>
      <c r="G29" s="144"/>
      <c r="H29" s="144"/>
      <c r="I29" s="144"/>
      <c r="J29" s="144"/>
      <c r="K29" s="172"/>
      <c r="L29" s="171"/>
      <c r="M29" s="171"/>
      <c r="N29" s="171">
        <f>SUM(N25:N28)</f>
        <v>825</v>
      </c>
      <c r="O29" s="171">
        <f>SUM(O25:O28)</f>
        <v>825</v>
      </c>
    </row>
    <row r="30" spans="1:30" x14ac:dyDescent="0.2">
      <c r="A30" s="192"/>
      <c r="B30" s="192"/>
      <c r="C30" s="193"/>
      <c r="D30" s="193"/>
      <c r="E30" s="193"/>
      <c r="F30" s="193"/>
      <c r="G30" s="194"/>
      <c r="H30" s="194"/>
      <c r="I30" s="194"/>
      <c r="J30" s="194"/>
      <c r="K30" s="192"/>
      <c r="L30" s="192"/>
      <c r="M30" s="192"/>
      <c r="N30" s="192"/>
      <c r="O30" s="192"/>
      <c r="P30" s="192"/>
    </row>
    <row r="31" spans="1:30" x14ac:dyDescent="0.2">
      <c r="A31" s="155" t="s">
        <v>83</v>
      </c>
      <c r="D31" s="4"/>
      <c r="E31" s="4"/>
      <c r="K31" s="154"/>
      <c r="L31" s="154"/>
      <c r="M31" s="154"/>
      <c r="N31" s="154"/>
      <c r="O31" s="213"/>
      <c r="P31" s="213"/>
    </row>
    <row r="32" spans="1:30" x14ac:dyDescent="0.2">
      <c r="A32" s="144"/>
      <c r="D32" s="4"/>
      <c r="E32" s="4"/>
      <c r="K32" s="154"/>
      <c r="L32" s="154"/>
      <c r="M32" s="154"/>
      <c r="N32" s="154"/>
      <c r="O32" s="213"/>
    </row>
    <row r="33" spans="1:221" x14ac:dyDescent="0.2">
      <c r="A33" s="72" t="s">
        <v>84</v>
      </c>
      <c r="D33" s="4">
        <f>IF($C$16&lt;0,0,IF($C$16&gt;833000,833000,$C$16))</f>
        <v>0</v>
      </c>
      <c r="E33" s="152" t="s">
        <v>19</v>
      </c>
      <c r="F33" s="1" t="s">
        <v>80</v>
      </c>
      <c r="G33" s="167"/>
      <c r="H33" s="191"/>
      <c r="I33" s="100">
        <f>'Rider Rates'!$B$4</f>
        <v>5.5215000000000004E-3</v>
      </c>
      <c r="J33" s="214">
        <f>SUM(G33:I33)</f>
        <v>5.5215000000000004E-3</v>
      </c>
      <c r="K33" s="154" t="s">
        <v>85</v>
      </c>
      <c r="L33" s="189"/>
      <c r="M33" s="189"/>
      <c r="N33" s="189">
        <f>ROUND($D33*I33,2)</f>
        <v>0</v>
      </c>
      <c r="O33" s="189">
        <f t="shared" ref="O33:O41" si="0">SUM(L33:N33)</f>
        <v>0</v>
      </c>
      <c r="P33" s="92">
        <f>'Rider Rates'!$D$4</f>
        <v>46022</v>
      </c>
    </row>
    <row r="34" spans="1:221"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 t="shared" si="0"/>
        <v>0</v>
      </c>
      <c r="P34" s="92">
        <f>'Rider Rates'!$D$4</f>
        <v>46022</v>
      </c>
    </row>
    <row r="35" spans="1:221"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 t="shared" si="0"/>
        <v>0</v>
      </c>
      <c r="P35" s="92">
        <f>'Rider Rates'!$D$7</f>
        <v>44531</v>
      </c>
    </row>
    <row r="36" spans="1:221"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 t="shared" si="0"/>
        <v>0</v>
      </c>
      <c r="P36" s="92">
        <f>'Rider Rates'!$D$7</f>
        <v>44531</v>
      </c>
    </row>
    <row r="37" spans="1:221"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 t="shared" si="0"/>
        <v>0</v>
      </c>
      <c r="P37" s="92">
        <f>'Rider Rates'!$D$7</f>
        <v>44531</v>
      </c>
    </row>
    <row r="38" spans="1:221"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si="0"/>
        <v>0</v>
      </c>
      <c r="P38" s="92">
        <f>MAX('Rider Rates'!$D$18,'Rider Rates'!$F$18)</f>
        <v>44531</v>
      </c>
    </row>
    <row r="39" spans="1:221" x14ac:dyDescent="0.2">
      <c r="A39" s="72" t="s">
        <v>96</v>
      </c>
      <c r="B39" s="72"/>
      <c r="C39" s="72"/>
      <c r="D39" s="4">
        <f>IF($C$16&lt;0,0,IF($C$16&gt;833000,833000,$C$16))</f>
        <v>0</v>
      </c>
      <c r="E39" s="97" t="s">
        <v>19</v>
      </c>
      <c r="F39" s="84" t="s">
        <v>80</v>
      </c>
      <c r="G39" s="100"/>
      <c r="H39" s="100"/>
      <c r="I39" s="100">
        <f>'Rider Rates'!D53</f>
        <v>0</v>
      </c>
      <c r="J39" s="100">
        <f>SUM(G39:I39)</f>
        <v>0</v>
      </c>
      <c r="K39" s="94" t="s">
        <v>85</v>
      </c>
      <c r="L39" s="89"/>
      <c r="M39" s="89"/>
      <c r="N39" s="189">
        <f>D39*J39</f>
        <v>0</v>
      </c>
      <c r="O39" s="89">
        <f t="shared" si="0"/>
        <v>0</v>
      </c>
      <c r="P39" s="92">
        <f>'Rider Rates'!E53</f>
        <v>45883</v>
      </c>
    </row>
    <row r="40" spans="1:221" x14ac:dyDescent="0.2">
      <c r="A40" s="76" t="s">
        <v>97</v>
      </c>
      <c r="B40" s="72"/>
      <c r="C40" s="72"/>
      <c r="D40" s="4">
        <f>IF($C$16&lt;0,0,$C$16)</f>
        <v>0</v>
      </c>
      <c r="E40" s="97" t="s">
        <v>19</v>
      </c>
      <c r="F40" s="84" t="s">
        <v>80</v>
      </c>
      <c r="G40" s="100"/>
      <c r="H40" s="100">
        <f>'Rider Rates'!$B$61</f>
        <v>4.1229999999999999E-4</v>
      </c>
      <c r="I40" s="100"/>
      <c r="J40" s="100">
        <f>SUM(G40:I40)</f>
        <v>4.1229999999999999E-4</v>
      </c>
      <c r="K40" s="94" t="s">
        <v>85</v>
      </c>
      <c r="L40" s="89"/>
      <c r="M40" s="89">
        <f>ROUND(D40*H40,2)</f>
        <v>0</v>
      </c>
      <c r="N40" s="116"/>
      <c r="O40" s="89">
        <f t="shared" si="0"/>
        <v>0</v>
      </c>
      <c r="P40" s="92">
        <f>'Rider Rates'!$D$61</f>
        <v>45929</v>
      </c>
    </row>
    <row r="41" spans="1:221" x14ac:dyDescent="0.2">
      <c r="A41" s="76" t="s">
        <v>97</v>
      </c>
      <c r="B41" s="72"/>
      <c r="C41" s="72"/>
      <c r="D41" s="349">
        <f>ROUND(MAX(D14,IF('Customer Info'!B14&lt;25001,0,IF('Customer Info'!B14&lt;75001,15000+(('Customer Info'!B14-25000)*0.85),IF('Customer Info'!B14&lt;75000,0,IF(((57500+('Customer Info'!B14-75000))/'Customer Info'!B14)&gt;85%,'Customer Info'!B14*85%,575000+('Customer Info'!B14-75000))))),('Customer Info'!B16)*0.85),1)</f>
        <v>0</v>
      </c>
      <c r="E41" s="152" t="s">
        <v>211</v>
      </c>
      <c r="F41" s="1" t="s">
        <v>80</v>
      </c>
      <c r="G41" s="100"/>
      <c r="H41" s="90">
        <f>'Rider Rates'!$B$66</f>
        <v>7.16</v>
      </c>
      <c r="I41" s="100"/>
      <c r="J41" s="90">
        <f>SUM(G41:I41)</f>
        <v>7.16</v>
      </c>
      <c r="K41" s="94" t="s">
        <v>162</v>
      </c>
      <c r="L41" s="89"/>
      <c r="M41" s="89">
        <f>ROUND(D41*H41,2)</f>
        <v>0</v>
      </c>
      <c r="N41" s="116"/>
      <c r="O41" s="89">
        <f t="shared" si="0"/>
        <v>0</v>
      </c>
      <c r="P41" s="92">
        <f>'Rider Rates'!$D$66</f>
        <v>45929</v>
      </c>
    </row>
    <row r="42" spans="1:221" x14ac:dyDescent="0.2">
      <c r="A42" s="76" t="s">
        <v>190</v>
      </c>
      <c r="B42" s="72"/>
      <c r="C42" s="72"/>
      <c r="D42" s="4">
        <f>IF('Customer Info'!C35=TRUE,0,IF($C$16&lt;0,0,$C$16))</f>
        <v>0</v>
      </c>
      <c r="E42" s="97" t="s">
        <v>19</v>
      </c>
      <c r="F42" s="84" t="s">
        <v>80</v>
      </c>
      <c r="G42" s="100"/>
      <c r="H42" s="100"/>
      <c r="I42" s="100">
        <f>'Rider Rates'!$B$73+'Rider Rates'!$C$73</f>
        <v>0</v>
      </c>
      <c r="J42" s="100">
        <f>SUM(G42:I42)</f>
        <v>0</v>
      </c>
      <c r="K42" s="94" t="s">
        <v>85</v>
      </c>
      <c r="L42" s="89"/>
      <c r="M42" s="89"/>
      <c r="N42" s="189">
        <f>ROUND($D$42*'Rider Rates'!$B$73,2)+ROUND($D$42*'Rider Rates'!$C$73,2)</f>
        <v>0</v>
      </c>
      <c r="O42" s="128">
        <f t="shared" ref="O42:O47" si="1">SUM(L42:N42)</f>
        <v>0</v>
      </c>
      <c r="P42" s="92">
        <f>'Rider Rates'!$D$73</f>
        <v>44531</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190</v>
      </c>
      <c r="B43" s="72"/>
      <c r="C43" s="72"/>
      <c r="D43" s="349">
        <f>IF('Customer Info'!C35=TRUE,0,$D$27)</f>
        <v>0</v>
      </c>
      <c r="E43" s="97" t="s">
        <v>13</v>
      </c>
      <c r="F43" s="84" t="s">
        <v>80</v>
      </c>
      <c r="G43" s="100"/>
      <c r="H43" s="100"/>
      <c r="I43" s="90">
        <f>'Rider Rates'!$B$83</f>
        <v>0</v>
      </c>
      <c r="J43" s="90">
        <f>SUM(G43:I43)</f>
        <v>0</v>
      </c>
      <c r="K43" s="94" t="s">
        <v>85</v>
      </c>
      <c r="L43" s="89"/>
      <c r="M43" s="89"/>
      <c r="N43" s="189">
        <f>ROUND($D43*I43,2)</f>
        <v>0</v>
      </c>
      <c r="O43" s="128">
        <f>SUM(L43:N43)</f>
        <v>0</v>
      </c>
      <c r="P43" s="92">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100</v>
      </c>
      <c r="B44" s="72"/>
      <c r="C44" s="72"/>
      <c r="D44" s="217">
        <f>$N$29</f>
        <v>825</v>
      </c>
      <c r="E44" s="97" t="s">
        <v>92</v>
      </c>
      <c r="F44" s="84" t="s">
        <v>80</v>
      </c>
      <c r="G44" s="117"/>
      <c r="H44" s="118"/>
      <c r="I44" s="119">
        <f>'Rider Rates'!$B$87</f>
        <v>3.5344300000000002E-2</v>
      </c>
      <c r="J44" s="119">
        <f>SUM(H44:I44)</f>
        <v>3.5344300000000002E-2</v>
      </c>
      <c r="K44" s="94"/>
      <c r="L44" s="89"/>
      <c r="M44" s="89"/>
      <c r="N44" s="89">
        <f>ROUND(N$29*I44,2)</f>
        <v>29.16</v>
      </c>
      <c r="O44" s="128">
        <f t="shared" si="1"/>
        <v>29.16</v>
      </c>
      <c r="P44" s="92">
        <f>'Rider Rates'!$D$87</f>
        <v>45929</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101</v>
      </c>
      <c r="B45" s="72"/>
      <c r="C45" s="72"/>
      <c r="D45" s="217">
        <f>$N$29</f>
        <v>825</v>
      </c>
      <c r="E45" s="97" t="s">
        <v>92</v>
      </c>
      <c r="F45" s="84" t="s">
        <v>80</v>
      </c>
      <c r="G45" s="120"/>
      <c r="H45" s="85"/>
      <c r="I45" s="119">
        <f>'Rider Rates'!$B$89</f>
        <v>7.8822199999999995E-2</v>
      </c>
      <c r="J45" s="119">
        <f>SUM(H45:I45)</f>
        <v>7.8822199999999995E-2</v>
      </c>
      <c r="K45" s="94"/>
      <c r="L45" s="89"/>
      <c r="M45" s="89"/>
      <c r="N45" s="89">
        <f>ROUND(N$29*I45,2)</f>
        <v>65.03</v>
      </c>
      <c r="O45" s="128">
        <f t="shared" si="1"/>
        <v>65.03</v>
      </c>
      <c r="P45" s="92">
        <f>'Rider Rates'!$D$89</f>
        <v>45987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102</v>
      </c>
      <c r="B46" s="72"/>
      <c r="C46" s="72"/>
      <c r="D46" s="113"/>
      <c r="E46" s="97" t="s">
        <v>55</v>
      </c>
      <c r="F46" s="84"/>
      <c r="G46" s="120"/>
      <c r="H46" s="85"/>
      <c r="I46" s="121">
        <f>'Rider Rates'!$B$93</f>
        <v>21.84</v>
      </c>
      <c r="J46" s="121">
        <f>SUM(G46:I46)</f>
        <v>21.84</v>
      </c>
      <c r="K46" s="94"/>
      <c r="L46" s="89"/>
      <c r="M46" s="89"/>
      <c r="N46" s="89">
        <f>I46</f>
        <v>21.84</v>
      </c>
      <c r="O46" s="89">
        <f>SUM(L46:N46)</f>
        <v>21.84</v>
      </c>
      <c r="P46" s="92">
        <f>'Rider Rates'!$D$93</f>
        <v>46022</v>
      </c>
    </row>
    <row r="47" spans="1:221" x14ac:dyDescent="0.2">
      <c r="A47" s="76" t="s">
        <v>104</v>
      </c>
      <c r="B47" s="72"/>
      <c r="C47" s="72"/>
      <c r="D47" s="217">
        <f>$N$29</f>
        <v>825</v>
      </c>
      <c r="E47" s="97" t="s">
        <v>92</v>
      </c>
      <c r="F47" s="84" t="s">
        <v>80</v>
      </c>
      <c r="G47" s="120"/>
      <c r="H47" s="85"/>
      <c r="I47" s="119">
        <f>'Rider Rates'!$B$107</f>
        <v>0.24079249999999999</v>
      </c>
      <c r="J47" s="119">
        <f>SUM(H47:I47)</f>
        <v>0.24079249999999999</v>
      </c>
      <c r="K47" s="94"/>
      <c r="L47" s="89"/>
      <c r="M47" s="89"/>
      <c r="N47" s="89">
        <f>ROUND(N$29*I47,2)</f>
        <v>198.65</v>
      </c>
      <c r="O47" s="89">
        <f t="shared" si="1"/>
        <v>198.65</v>
      </c>
      <c r="P47" s="92">
        <f>'Rider Rates'!$D$107</f>
        <v>45987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105</v>
      </c>
      <c r="B48" s="72"/>
      <c r="C48" s="72"/>
      <c r="D48" s="113"/>
      <c r="E48" s="97" t="s">
        <v>55</v>
      </c>
      <c r="F48" s="84"/>
      <c r="G48" s="120"/>
      <c r="H48" s="85"/>
      <c r="I48" s="123">
        <f>'Rider Rates'!B123</f>
        <v>0.99</v>
      </c>
      <c r="J48" s="121">
        <f t="shared" ref="J48:J53" si="2">SUM(G48:I48)</f>
        <v>0.99</v>
      </c>
      <c r="K48" s="94"/>
      <c r="L48" s="89"/>
      <c r="M48" s="89"/>
      <c r="N48" s="125">
        <f>I48</f>
        <v>0.99</v>
      </c>
      <c r="O48" s="89">
        <f t="shared" ref="O48:O53" si="3">SUM(L48:N48)</f>
        <v>0.99</v>
      </c>
      <c r="P48" s="92">
        <f>'Rider Rates'!D123</f>
        <v>45958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 t="shared" si="2"/>
        <v>0</v>
      </c>
      <c r="K49" s="94" t="s">
        <v>85</v>
      </c>
      <c r="L49" s="89"/>
      <c r="M49" s="89"/>
      <c r="N49" s="89">
        <f>D49*I49</f>
        <v>0</v>
      </c>
      <c r="O49" s="89">
        <f t="shared" si="3"/>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 t="shared" si="2"/>
        <v>0</v>
      </c>
      <c r="K50" s="94" t="s">
        <v>85</v>
      </c>
      <c r="L50" s="196"/>
      <c r="M50" s="196"/>
      <c r="N50" s="196">
        <f>IF(D50*J50&gt;'Rider Rates'!$C$127,'Rider Rates'!$C$127,D50*J50)</f>
        <v>0</v>
      </c>
      <c r="O50" s="196">
        <f t="shared" si="3"/>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 t="shared" si="2"/>
        <v>0</v>
      </c>
      <c r="K51" s="94" t="s">
        <v>85</v>
      </c>
      <c r="L51" s="196"/>
      <c r="M51" s="196"/>
      <c r="N51" s="196">
        <f>D51*J51</f>
        <v>0</v>
      </c>
      <c r="O51" s="196">
        <f t="shared" si="3"/>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 t="shared" si="2"/>
        <v>0</v>
      </c>
      <c r="K52" s="94" t="s">
        <v>85</v>
      </c>
      <c r="L52" s="89"/>
      <c r="M52" s="89"/>
      <c r="N52" s="89">
        <f>D52*J52</f>
        <v>0</v>
      </c>
      <c r="O52" s="89">
        <f t="shared" si="3"/>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 t="shared" si="2"/>
        <v>0</v>
      </c>
      <c r="K53" s="94"/>
      <c r="L53" s="128"/>
      <c r="M53" s="128"/>
      <c r="N53" s="128">
        <f>J53</f>
        <v>0</v>
      </c>
      <c r="O53" s="128">
        <f t="shared" si="3"/>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SUM(L33:L54)</f>
        <v>0</v>
      </c>
      <c r="M55" s="105">
        <f>SUM(M33:M54)</f>
        <v>0</v>
      </c>
      <c r="N55" s="105">
        <f>SUM(N33:N54)</f>
        <v>315.67</v>
      </c>
      <c r="O55" s="105">
        <f>SUM(O33:O54)</f>
        <v>315.67</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L29+L55</f>
        <v>0</v>
      </c>
      <c r="M57" s="219">
        <f>M29+M55</f>
        <v>0</v>
      </c>
      <c r="N57" s="219">
        <f>N29+N55</f>
        <v>1140.67</v>
      </c>
      <c r="O57" s="219">
        <f>O29+O55</f>
        <v>1140.67</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O25+O27+O55</f>
        <v>1140.67</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1140.67</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31"/>
    </row>
    <row r="74" spans="1:16" x14ac:dyDescent="0.2">
      <c r="A74" s="431"/>
    </row>
    <row r="75" spans="1:16" x14ac:dyDescent="0.2">
      <c r="A75" s="431"/>
    </row>
    <row r="76" spans="1:16" x14ac:dyDescent="0.2">
      <c r="A76" s="431"/>
    </row>
    <row r="77" spans="1:16" x14ac:dyDescent="0.2">
      <c r="A77" s="431"/>
    </row>
    <row r="78" spans="1:16" x14ac:dyDescent="0.2">
      <c r="A78" s="431"/>
    </row>
    <row r="79" spans="1:16" x14ac:dyDescent="0.2">
      <c r="A79" s="431"/>
    </row>
    <row r="80" spans="1:1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sheetData>
  <sheetProtection algorithmName="SHA-512" hashValue="oACR59MAOnR9GVNryEZWRUp7/aCDluSNNXiD963sVsD+hEpRDZRLNWxJ5GT9Hi02AW9NhWCxNYvdK4JIWZJSuw==" saltValue="P2VLeLGpgkZahngR5zbLE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20:H20"/>
    <mergeCell ref="D21:H21"/>
    <mergeCell ref="G23:J23"/>
    <mergeCell ref="L23:O23"/>
  </mergeCells>
  <printOptions horizontalCentered="1"/>
  <pageMargins left="0.5" right="0.5" top="0.25" bottom="0.25" header="0.25" footer="0.26"/>
  <pageSetup scale="60" orientation="landscape" r:id="rId1"/>
  <headerFooter alignWithMargins="0"/>
  <rowBreaks count="1" manualBreakCount="1">
    <brk id="71" max="16" man="1"/>
  </rowBreaks>
  <ignoredErrors>
    <ignoredError sqref="D2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993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9938"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3993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4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4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5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5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6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6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7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7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8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8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9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9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3DB4-DD17-416B-9955-5530F9C839B2}">
  <dimension ref="A1:AD65"/>
  <sheetViews>
    <sheetView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7" t="s">
        <v>50</v>
      </c>
      <c r="B1" s="457"/>
      <c r="C1" s="457"/>
      <c r="D1" s="457"/>
      <c r="E1" s="457"/>
      <c r="F1" s="457"/>
      <c r="G1" s="457"/>
      <c r="H1" s="457"/>
      <c r="I1" s="457"/>
      <c r="J1" s="457"/>
      <c r="K1" s="457"/>
      <c r="L1" s="457"/>
      <c r="M1" s="457"/>
      <c r="N1" s="457"/>
      <c r="O1" s="457"/>
      <c r="P1" s="457"/>
    </row>
    <row r="2" spans="1:30" ht="20.25" x14ac:dyDescent="0.3">
      <c r="A2" s="457" t="s">
        <v>138</v>
      </c>
      <c r="B2" s="457"/>
      <c r="C2" s="457"/>
      <c r="D2" s="457"/>
      <c r="E2" s="457"/>
      <c r="F2" s="457"/>
      <c r="G2" s="457"/>
      <c r="H2" s="457"/>
      <c r="I2" s="457"/>
      <c r="J2" s="457"/>
      <c r="K2" s="457"/>
      <c r="L2" s="457"/>
      <c r="M2" s="457"/>
      <c r="N2" s="457"/>
      <c r="O2" s="457"/>
      <c r="P2" s="457"/>
    </row>
    <row r="3" spans="1:30" ht="18" x14ac:dyDescent="0.25">
      <c r="A3" s="458" t="s">
        <v>195</v>
      </c>
      <c r="B3" s="458"/>
      <c r="C3" s="458"/>
      <c r="D3" s="458"/>
      <c r="E3" s="458"/>
      <c r="F3" s="458"/>
      <c r="G3" s="458"/>
      <c r="H3" s="458"/>
      <c r="I3" s="458"/>
      <c r="J3" s="458"/>
      <c r="K3" s="458"/>
      <c r="L3" s="458"/>
      <c r="M3" s="458"/>
      <c r="N3" s="458"/>
      <c r="O3" s="458"/>
      <c r="P3" s="458"/>
    </row>
    <row r="4" spans="1:30" ht="15.75" x14ac:dyDescent="0.25">
      <c r="A4" s="459" t="str">
        <f>'Customer Info'!B12</f>
        <v>Breakdown of Charges Based on Entered Information</v>
      </c>
      <c r="B4" s="459"/>
      <c r="C4" s="459"/>
      <c r="D4" s="459"/>
      <c r="E4" s="459"/>
      <c r="F4" s="459"/>
      <c r="G4" s="459"/>
      <c r="H4" s="459"/>
      <c r="I4" s="459"/>
      <c r="J4" s="459"/>
      <c r="K4" s="459"/>
      <c r="L4" s="459"/>
      <c r="M4" s="459"/>
      <c r="N4" s="459"/>
      <c r="O4" s="459"/>
      <c r="P4" s="459"/>
    </row>
    <row r="5" spans="1:30" ht="15" x14ac:dyDescent="0.2">
      <c r="A5" s="231"/>
      <c r="B5" s="231"/>
      <c r="C5" s="231"/>
      <c r="D5" s="231"/>
      <c r="E5" s="231"/>
      <c r="F5" s="231"/>
      <c r="G5" s="231"/>
      <c r="H5" s="231" t="s">
        <v>196</v>
      </c>
      <c r="I5" s="231"/>
      <c r="J5" s="231"/>
      <c r="K5" s="231"/>
    </row>
    <row r="6" spans="1:30" x14ac:dyDescent="0.2">
      <c r="A6" s="232">
        <f ca="1">TODAY()</f>
        <v>46051</v>
      </c>
      <c r="B6" s="233"/>
      <c r="C6" s="232"/>
      <c r="D6" s="232"/>
      <c r="E6" s="232"/>
      <c r="F6" s="232"/>
      <c r="G6" s="232"/>
      <c r="H6" s="232"/>
      <c r="I6" s="232"/>
    </row>
    <row r="7" spans="1:30" ht="26.25" x14ac:dyDescent="0.4">
      <c r="A7" s="460"/>
      <c r="B7" s="460"/>
      <c r="C7" s="460"/>
      <c r="D7" s="460"/>
      <c r="E7" s="460"/>
      <c r="F7" s="460"/>
      <c r="G7" s="460"/>
      <c r="H7" s="460"/>
      <c r="I7" s="460"/>
      <c r="J7" s="460"/>
      <c r="K7" s="460"/>
      <c r="L7" s="460"/>
      <c r="M7" s="460"/>
      <c r="N7" s="460"/>
      <c r="O7" s="460"/>
      <c r="P7" s="460"/>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2</v>
      </c>
      <c r="C11" s="240" t="str">
        <f>LOOKUP(B11,R11:AD11,R12:AD12)</f>
        <v>February</v>
      </c>
      <c r="D11" s="240">
        <f>'Customer Info'!C9</f>
        <v>2026</v>
      </c>
      <c r="S11" s="230">
        <v>1</v>
      </c>
      <c r="T11" s="230">
        <v>2</v>
      </c>
      <c r="U11" s="230">
        <v>3</v>
      </c>
      <c r="V11" s="230">
        <v>4</v>
      </c>
      <c r="W11" s="230">
        <v>5</v>
      </c>
      <c r="X11" s="230">
        <v>6</v>
      </c>
      <c r="Y11" s="230">
        <v>7</v>
      </c>
      <c r="Z11" s="230">
        <v>8</v>
      </c>
      <c r="AA11" s="230">
        <v>9</v>
      </c>
      <c r="AB11" s="230">
        <v>10</v>
      </c>
      <c r="AC11" s="230">
        <v>11</v>
      </c>
      <c r="AD11" s="230">
        <v>12</v>
      </c>
    </row>
    <row r="12" spans="1:30" x14ac:dyDescent="0.2">
      <c r="A12" s="461"/>
      <c r="B12" s="461"/>
      <c r="C12" s="461"/>
      <c r="D12" s="461"/>
      <c r="E12" s="461"/>
      <c r="F12" s="461"/>
      <c r="G12" s="461"/>
      <c r="H12" s="461"/>
      <c r="I12" s="461"/>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3" t="s">
        <v>71</v>
      </c>
      <c r="H19" s="454"/>
      <c r="I19" s="454"/>
      <c r="J19" s="455"/>
      <c r="K19" s="245"/>
      <c r="L19" s="456" t="s">
        <v>72</v>
      </c>
      <c r="M19" s="456"/>
      <c r="N19" s="456"/>
      <c r="O19" s="456"/>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Rates'!B145</f>
        <v>9.4</v>
      </c>
      <c r="J21" s="256">
        <f>SUM(G21:I21)</f>
        <v>9.4</v>
      </c>
      <c r="L21" s="257"/>
      <c r="M21" s="257"/>
      <c r="N21" s="257">
        <f>I21</f>
        <v>9.4</v>
      </c>
      <c r="O21" s="256">
        <f>SUM(L21:N21)</f>
        <v>9.4</v>
      </c>
      <c r="P21" s="258">
        <v>44531</v>
      </c>
    </row>
    <row r="22" spans="1:22" x14ac:dyDescent="0.2">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
      <c r="A23" s="264" t="s">
        <v>82</v>
      </c>
      <c r="B23" s="264"/>
      <c r="C23" s="264"/>
      <c r="D23" s="265"/>
      <c r="E23" s="265"/>
      <c r="F23" s="264"/>
      <c r="G23" s="264"/>
      <c r="H23" s="264"/>
      <c r="I23" s="264"/>
      <c r="J23" s="264"/>
      <c r="K23" s="266"/>
      <c r="L23" s="267"/>
      <c r="M23" s="267"/>
      <c r="N23" s="267">
        <f>SUM(N21:N22)</f>
        <v>9.4</v>
      </c>
      <c r="O23" s="267">
        <f>SUM(O21:O22)</f>
        <v>9.4</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5.5215000000000004E-3</v>
      </c>
      <c r="J27" s="276">
        <f t="shared" ref="J27:J47" si="0">SUM(G27:I27)</f>
        <v>5.5215000000000004E-3</v>
      </c>
      <c r="K27" s="263" t="s">
        <v>85</v>
      </c>
      <c r="L27" s="91"/>
      <c r="M27" s="91"/>
      <c r="N27" s="91">
        <f t="shared" ref="N27:N32" si="1">ROUND(D27*I27,2)</f>
        <v>0</v>
      </c>
      <c r="O27" s="91">
        <f t="shared" ref="O27:O48" si="2">SUM(L27:N27)</f>
        <v>0</v>
      </c>
      <c r="P27" s="258">
        <f>'Rider Rates'!$D$4</f>
        <v>46022</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46022</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'Customer Info'!$B$22+'Customer Info'!$B$23-'Customer Info'!$B$24</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46022</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9.4</v>
      </c>
      <c r="E42" s="260" t="s">
        <v>92</v>
      </c>
      <c r="F42" s="261" t="s">
        <v>80</v>
      </c>
      <c r="G42" s="284"/>
      <c r="H42" s="253"/>
      <c r="I42" s="285">
        <f>'Rider Rates'!$B$87</f>
        <v>3.5344300000000002E-2</v>
      </c>
      <c r="J42" s="285">
        <f t="shared" si="0"/>
        <v>3.5344300000000002E-2</v>
      </c>
      <c r="K42" s="263"/>
      <c r="L42" s="91"/>
      <c r="M42" s="91"/>
      <c r="N42" s="91">
        <f>ROUND(D42*I42,2)</f>
        <v>0.33</v>
      </c>
      <c r="O42" s="91">
        <f t="shared" si="2"/>
        <v>0.33</v>
      </c>
      <c r="P42" s="258">
        <f>'Rider Rates'!$D$87</f>
        <v>45929</v>
      </c>
      <c r="Q42" s="261"/>
      <c r="R42" s="277"/>
      <c r="S42" s="263"/>
      <c r="T42" s="273"/>
      <c r="V42" s="274"/>
    </row>
    <row r="43" spans="1:22" x14ac:dyDescent="0.2">
      <c r="A43" s="233" t="s">
        <v>101</v>
      </c>
      <c r="D43" s="279">
        <f>$N$23</f>
        <v>9.4</v>
      </c>
      <c r="E43" s="260" t="s">
        <v>92</v>
      </c>
      <c r="F43" s="261" t="s">
        <v>80</v>
      </c>
      <c r="G43" s="286"/>
      <c r="H43" s="253"/>
      <c r="I43" s="285">
        <f>'Rider Rates'!$B$89</f>
        <v>7.8822199999999995E-2</v>
      </c>
      <c r="J43" s="285">
        <f t="shared" si="0"/>
        <v>7.8822199999999995E-2</v>
      </c>
      <c r="K43" s="263"/>
      <c r="L43" s="91"/>
      <c r="M43" s="91"/>
      <c r="N43" s="91">
        <f>ROUND(D43*I43,2)</f>
        <v>0.74</v>
      </c>
      <c r="O43" s="91">
        <f t="shared" si="2"/>
        <v>0.74</v>
      </c>
      <c r="P43" s="258">
        <f>'Rider Rates'!$D$89</f>
        <v>45987</v>
      </c>
      <c r="Q43" s="261"/>
      <c r="R43" s="277"/>
      <c r="S43" s="263"/>
      <c r="T43" s="273"/>
      <c r="V43" s="274"/>
    </row>
    <row r="44" spans="1:22" x14ac:dyDescent="0.2">
      <c r="A44" s="233" t="s">
        <v>102</v>
      </c>
      <c r="D44" s="279"/>
      <c r="E44" s="260" t="s">
        <v>55</v>
      </c>
      <c r="F44" s="261"/>
      <c r="G44" s="286"/>
      <c r="H44" s="253"/>
      <c r="I44" s="283">
        <f>'Rider Rates'!$B$93</f>
        <v>21.84</v>
      </c>
      <c r="J44" s="283">
        <f t="shared" si="0"/>
        <v>21.84</v>
      </c>
      <c r="K44" s="263"/>
      <c r="L44" s="91"/>
      <c r="M44" s="91"/>
      <c r="N44" s="91">
        <f>I44</f>
        <v>21.84</v>
      </c>
      <c r="O44" s="91">
        <f t="shared" si="2"/>
        <v>21.84</v>
      </c>
      <c r="P44" s="258">
        <f>'Rider Rates'!$D$93</f>
        <v>46022</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9.4</v>
      </c>
      <c r="E46" s="260" t="s">
        <v>92</v>
      </c>
      <c r="F46" s="261" t="s">
        <v>80</v>
      </c>
      <c r="G46" s="286"/>
      <c r="H46" s="253"/>
      <c r="I46" s="285">
        <f>'Rider Rates'!$B$107</f>
        <v>0.24079249999999999</v>
      </c>
      <c r="J46" s="285">
        <f t="shared" si="0"/>
        <v>0.24079249999999999</v>
      </c>
      <c r="K46" s="263"/>
      <c r="L46" s="91"/>
      <c r="M46" s="91"/>
      <c r="N46" s="91">
        <f>ROUND(D46*I46,2)</f>
        <v>2.2599999999999998</v>
      </c>
      <c r="O46" s="91">
        <f t="shared" si="2"/>
        <v>2.2599999999999998</v>
      </c>
      <c r="P46" s="258">
        <f>'Rider Rates'!$D$107</f>
        <v>45987</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26.16</v>
      </c>
      <c r="O55" s="298">
        <f>SUM(O27:O54)</f>
        <v>26.16</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35.56</v>
      </c>
      <c r="O57" s="303">
        <f>O23+O55</f>
        <v>35.56</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35.56</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35.56</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vhKA6JC8bmP6gmIMQwF/m0u9TG4ZcqVbP7xbW5pzaPFQtwWxcxJ7cV0efccua8YSWNzqbwF6XHFVRpQv1S8R8A==" saltValue="Rc+8EXJD0HWX+TwMiuVye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7"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29698"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9699"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0"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1"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2"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7ED99-18D9-46D9-BC68-C7B19D5F30B9}">
  <dimension ref="A1:AD65"/>
  <sheetViews>
    <sheetView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7" t="s">
        <v>50</v>
      </c>
      <c r="B1" s="457"/>
      <c r="C1" s="457"/>
      <c r="D1" s="457"/>
      <c r="E1" s="457"/>
      <c r="F1" s="457"/>
      <c r="G1" s="457"/>
      <c r="H1" s="457"/>
      <c r="I1" s="457"/>
      <c r="J1" s="457"/>
      <c r="K1" s="457"/>
      <c r="L1" s="457"/>
      <c r="M1" s="457"/>
      <c r="N1" s="457"/>
      <c r="O1" s="457"/>
      <c r="P1" s="457"/>
    </row>
    <row r="2" spans="1:30" ht="20.25" x14ac:dyDescent="0.3">
      <c r="A2" s="457" t="s">
        <v>138</v>
      </c>
      <c r="B2" s="457"/>
      <c r="C2" s="457"/>
      <c r="D2" s="457"/>
      <c r="E2" s="457"/>
      <c r="F2" s="457"/>
      <c r="G2" s="457"/>
      <c r="H2" s="457"/>
      <c r="I2" s="457"/>
      <c r="J2" s="457"/>
      <c r="K2" s="457"/>
      <c r="L2" s="457"/>
      <c r="M2" s="457"/>
      <c r="N2" s="457"/>
      <c r="O2" s="457"/>
      <c r="P2" s="457"/>
    </row>
    <row r="3" spans="1:30" ht="18" x14ac:dyDescent="0.25">
      <c r="A3" s="458" t="s">
        <v>197</v>
      </c>
      <c r="B3" s="458"/>
      <c r="C3" s="458"/>
      <c r="D3" s="458"/>
      <c r="E3" s="458"/>
      <c r="F3" s="458"/>
      <c r="G3" s="458"/>
      <c r="H3" s="458"/>
      <c r="I3" s="458"/>
      <c r="J3" s="458"/>
      <c r="K3" s="458"/>
      <c r="L3" s="458"/>
      <c r="M3" s="458"/>
      <c r="N3" s="458"/>
      <c r="O3" s="458"/>
      <c r="P3" s="458"/>
    </row>
    <row r="4" spans="1:30" ht="15.75" x14ac:dyDescent="0.25">
      <c r="A4" s="459" t="str">
        <f>'Customer Info'!B12</f>
        <v>Breakdown of Charges Based on Entered Information</v>
      </c>
      <c r="B4" s="459"/>
      <c r="C4" s="459"/>
      <c r="D4" s="459"/>
      <c r="E4" s="459"/>
      <c r="F4" s="459"/>
      <c r="G4" s="459"/>
      <c r="H4" s="459"/>
      <c r="I4" s="459"/>
      <c r="J4" s="459"/>
      <c r="K4" s="459"/>
      <c r="L4" s="459"/>
      <c r="M4" s="459"/>
      <c r="N4" s="459"/>
      <c r="O4" s="459"/>
      <c r="P4" s="459"/>
    </row>
    <row r="5" spans="1:30" ht="15" x14ac:dyDescent="0.2">
      <c r="A5" s="231"/>
      <c r="B5" s="231"/>
      <c r="C5" s="231"/>
      <c r="D5" s="231"/>
      <c r="E5" s="231"/>
      <c r="F5" s="231"/>
      <c r="G5" s="231"/>
      <c r="H5" s="231" t="s">
        <v>198</v>
      </c>
      <c r="I5" s="231"/>
      <c r="J5" s="231"/>
      <c r="K5" s="231"/>
    </row>
    <row r="6" spans="1:30" x14ac:dyDescent="0.2">
      <c r="A6" s="232">
        <f ca="1">TODAY()</f>
        <v>46051</v>
      </c>
      <c r="B6" s="233"/>
      <c r="C6" s="232"/>
      <c r="D6" s="232"/>
      <c r="E6" s="232"/>
      <c r="F6" s="232"/>
      <c r="G6" s="232"/>
      <c r="H6" s="232"/>
      <c r="I6" s="232"/>
    </row>
    <row r="7" spans="1:30" ht="26.25" x14ac:dyDescent="0.4">
      <c r="A7" s="460"/>
      <c r="B7" s="460"/>
      <c r="C7" s="460"/>
      <c r="D7" s="460"/>
      <c r="E7" s="460"/>
      <c r="F7" s="460"/>
      <c r="G7" s="460"/>
      <c r="H7" s="460"/>
      <c r="I7" s="460"/>
      <c r="J7" s="460"/>
      <c r="K7" s="460"/>
      <c r="L7" s="460"/>
      <c r="M7" s="460"/>
      <c r="N7" s="460"/>
      <c r="O7" s="460"/>
      <c r="P7" s="460"/>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2</v>
      </c>
      <c r="C11" s="240" t="str">
        <f>LOOKUP(B11,R11:AD11,R12:AD12)</f>
        <v>February</v>
      </c>
      <c r="D11" s="240">
        <f>'Customer Info'!C9</f>
        <v>2026</v>
      </c>
      <c r="S11" s="230">
        <v>1</v>
      </c>
      <c r="T11" s="230">
        <v>2</v>
      </c>
      <c r="U11" s="230">
        <v>3</v>
      </c>
      <c r="V11" s="230">
        <v>4</v>
      </c>
      <c r="W11" s="230">
        <v>5</v>
      </c>
      <c r="X11" s="230">
        <v>6</v>
      </c>
      <c r="Y11" s="230">
        <v>7</v>
      </c>
      <c r="Z11" s="230">
        <v>8</v>
      </c>
      <c r="AA11" s="230">
        <v>9</v>
      </c>
      <c r="AB11" s="230">
        <v>10</v>
      </c>
      <c r="AC11" s="230">
        <v>11</v>
      </c>
      <c r="AD11" s="230">
        <v>12</v>
      </c>
    </row>
    <row r="12" spans="1:30" x14ac:dyDescent="0.2">
      <c r="A12" s="461"/>
      <c r="B12" s="461"/>
      <c r="C12" s="461"/>
      <c r="D12" s="461"/>
      <c r="E12" s="461"/>
      <c r="F12" s="461"/>
      <c r="G12" s="461"/>
      <c r="H12" s="461"/>
      <c r="I12" s="461"/>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3" t="s">
        <v>71</v>
      </c>
      <c r="H19" s="454"/>
      <c r="I19" s="454"/>
      <c r="J19" s="455"/>
      <c r="K19" s="245"/>
      <c r="L19" s="456" t="s">
        <v>72</v>
      </c>
      <c r="M19" s="456"/>
      <c r="N19" s="456"/>
      <c r="O19" s="456"/>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Rates'!B146</f>
        <v>138.5</v>
      </c>
      <c r="J21" s="256">
        <f>SUM(G21:I21)</f>
        <v>138.5</v>
      </c>
      <c r="L21" s="257"/>
      <c r="M21" s="257"/>
      <c r="N21" s="257">
        <f>I21</f>
        <v>138.5</v>
      </c>
      <c r="O21" s="256">
        <f>SUM(L21:N21)</f>
        <v>138.5</v>
      </c>
      <c r="P21" s="258">
        <v>44531</v>
      </c>
    </row>
    <row r="22" spans="1:22" x14ac:dyDescent="0.2">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
      <c r="A23" s="264" t="s">
        <v>82</v>
      </c>
      <c r="B23" s="264"/>
      <c r="C23" s="264"/>
      <c r="D23" s="265"/>
      <c r="E23" s="265"/>
      <c r="F23" s="264"/>
      <c r="G23" s="264"/>
      <c r="H23" s="264"/>
      <c r="I23" s="264"/>
      <c r="J23" s="264"/>
      <c r="K23" s="266"/>
      <c r="L23" s="267"/>
      <c r="M23" s="267"/>
      <c r="N23" s="267">
        <f>SUM(N21:N22)</f>
        <v>138.5</v>
      </c>
      <c r="O23" s="267">
        <f>SUM(O21:O22)</f>
        <v>138.5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5.5215000000000004E-3</v>
      </c>
      <c r="J27" s="276">
        <f t="shared" ref="J27:J47" si="0">SUM(G27:I27)</f>
        <v>5.5215000000000004E-3</v>
      </c>
      <c r="K27" s="263" t="s">
        <v>85</v>
      </c>
      <c r="L27" s="91"/>
      <c r="M27" s="91"/>
      <c r="N27" s="91">
        <f t="shared" ref="N27:N32" si="1">ROUND(D27*I27,2)</f>
        <v>0</v>
      </c>
      <c r="O27" s="91">
        <f t="shared" ref="O27:O48" si="2">SUM(L27:N27)</f>
        <v>0</v>
      </c>
      <c r="P27" s="258">
        <f>'Rider Rates'!$D$4</f>
        <v>46022</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46022</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46022</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138.5</v>
      </c>
      <c r="E42" s="260" t="s">
        <v>92</v>
      </c>
      <c r="F42" s="261" t="s">
        <v>80</v>
      </c>
      <c r="G42" s="284"/>
      <c r="H42" s="253"/>
      <c r="I42" s="285">
        <f>'Rider Rates'!$B$87</f>
        <v>3.5344300000000002E-2</v>
      </c>
      <c r="J42" s="285">
        <f t="shared" si="0"/>
        <v>3.5344300000000002E-2</v>
      </c>
      <c r="K42" s="263"/>
      <c r="L42" s="91"/>
      <c r="M42" s="91"/>
      <c r="N42" s="91">
        <f>ROUND(D42*I42,2)</f>
        <v>4.9000000000000004</v>
      </c>
      <c r="O42" s="91">
        <f t="shared" si="2"/>
        <v>4.9000000000000004</v>
      </c>
      <c r="P42" s="258">
        <f>'Rider Rates'!$D$87</f>
        <v>45929</v>
      </c>
      <c r="Q42" s="261"/>
      <c r="R42" s="277"/>
      <c r="S42" s="263"/>
      <c r="T42" s="273"/>
      <c r="V42" s="274"/>
    </row>
    <row r="43" spans="1:22" x14ac:dyDescent="0.2">
      <c r="A43" s="233" t="s">
        <v>101</v>
      </c>
      <c r="D43" s="279">
        <f>$N$23</f>
        <v>138.5</v>
      </c>
      <c r="E43" s="260" t="s">
        <v>92</v>
      </c>
      <c r="F43" s="261" t="s">
        <v>80</v>
      </c>
      <c r="G43" s="286"/>
      <c r="H43" s="253"/>
      <c r="I43" s="285">
        <f>'Rider Rates'!$B$89</f>
        <v>7.8822199999999995E-2</v>
      </c>
      <c r="J43" s="285">
        <f t="shared" si="0"/>
        <v>7.8822199999999995E-2</v>
      </c>
      <c r="K43" s="263"/>
      <c r="L43" s="91"/>
      <c r="M43" s="91"/>
      <c r="N43" s="91">
        <f>ROUND(D43*I43,2)</f>
        <v>10.92</v>
      </c>
      <c r="O43" s="91">
        <f t="shared" si="2"/>
        <v>10.92</v>
      </c>
      <c r="P43" s="258">
        <f>'Rider Rates'!$D$89</f>
        <v>45987</v>
      </c>
      <c r="Q43" s="261"/>
      <c r="R43" s="277"/>
      <c r="S43" s="263"/>
      <c r="T43" s="273"/>
      <c r="V43" s="274"/>
    </row>
    <row r="44" spans="1:22" x14ac:dyDescent="0.2">
      <c r="A44" s="233" t="s">
        <v>102</v>
      </c>
      <c r="D44" s="279"/>
      <c r="E44" s="260" t="s">
        <v>55</v>
      </c>
      <c r="F44" s="261"/>
      <c r="G44" s="286"/>
      <c r="H44" s="253"/>
      <c r="I44" s="283">
        <f>'Rider Rates'!$B$93</f>
        <v>21.84</v>
      </c>
      <c r="J44" s="283">
        <f t="shared" si="0"/>
        <v>21.84</v>
      </c>
      <c r="K44" s="263"/>
      <c r="L44" s="91"/>
      <c r="M44" s="91"/>
      <c r="N44" s="91">
        <f>I44</f>
        <v>21.84</v>
      </c>
      <c r="O44" s="91">
        <f t="shared" si="2"/>
        <v>21.84</v>
      </c>
      <c r="P44" s="258">
        <f>'Rider Rates'!$D$93</f>
        <v>46022</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138.5</v>
      </c>
      <c r="E46" s="260" t="s">
        <v>92</v>
      </c>
      <c r="F46" s="261" t="s">
        <v>80</v>
      </c>
      <c r="G46" s="286"/>
      <c r="H46" s="253"/>
      <c r="I46" s="285">
        <f>'Rider Rates'!$B$107</f>
        <v>0.24079249999999999</v>
      </c>
      <c r="J46" s="285">
        <f t="shared" si="0"/>
        <v>0.24079249999999999</v>
      </c>
      <c r="K46" s="263"/>
      <c r="L46" s="91"/>
      <c r="M46" s="91"/>
      <c r="N46" s="91">
        <f>ROUND(D46*I46,2)</f>
        <v>33.35</v>
      </c>
      <c r="O46" s="91">
        <f t="shared" si="2"/>
        <v>33.35</v>
      </c>
      <c r="P46" s="258">
        <f>'Rider Rates'!$D$107</f>
        <v>45987</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71.999999999999986</v>
      </c>
      <c r="O55" s="298">
        <f>SUM(O27:O54)</f>
        <v>71.999999999999986</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210.5</v>
      </c>
      <c r="O57" s="303">
        <f>O23+O55</f>
        <v>210.5</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210.5</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210.5</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x+oAablD4dKmHhGHXB3VQqDwf3t0uDqcgZ9Pe1+kYunBxrGK/2ouZ2fVUt+OpHc26LHrdNg7qw7taK+FC48WYg==" saltValue="YmQ/outB3YcAwYqOyp32c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1"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30722"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30723"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4"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5"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6"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A6678-5660-4481-91C2-22B96F907418}">
  <dimension ref="A1:AD65"/>
  <sheetViews>
    <sheetView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7" t="s">
        <v>50</v>
      </c>
      <c r="B1" s="457"/>
      <c r="C1" s="457"/>
      <c r="D1" s="457"/>
      <c r="E1" s="457"/>
      <c r="F1" s="457"/>
      <c r="G1" s="457"/>
      <c r="H1" s="457"/>
      <c r="I1" s="457"/>
      <c r="J1" s="457"/>
      <c r="K1" s="457"/>
      <c r="L1" s="457"/>
      <c r="M1" s="457"/>
      <c r="N1" s="457"/>
      <c r="O1" s="457"/>
      <c r="P1" s="457"/>
    </row>
    <row r="2" spans="1:30" ht="20.25" x14ac:dyDescent="0.3">
      <c r="A2" s="457" t="s">
        <v>138</v>
      </c>
      <c r="B2" s="457"/>
      <c r="C2" s="457"/>
      <c r="D2" s="457"/>
      <c r="E2" s="457"/>
      <c r="F2" s="457"/>
      <c r="G2" s="457"/>
      <c r="H2" s="457"/>
      <c r="I2" s="457"/>
      <c r="J2" s="457"/>
      <c r="K2" s="457"/>
      <c r="L2" s="457"/>
      <c r="M2" s="457"/>
      <c r="N2" s="457"/>
      <c r="O2" s="457"/>
      <c r="P2" s="457"/>
    </row>
    <row r="3" spans="1:30" ht="18" x14ac:dyDescent="0.25">
      <c r="A3" s="458" t="s">
        <v>199</v>
      </c>
      <c r="B3" s="458"/>
      <c r="C3" s="458"/>
      <c r="D3" s="458"/>
      <c r="E3" s="458"/>
      <c r="F3" s="458"/>
      <c r="G3" s="458"/>
      <c r="H3" s="458"/>
      <c r="I3" s="458"/>
      <c r="J3" s="458"/>
      <c r="K3" s="458"/>
      <c r="L3" s="458"/>
      <c r="M3" s="458"/>
      <c r="N3" s="458"/>
      <c r="O3" s="458"/>
      <c r="P3" s="458"/>
    </row>
    <row r="4" spans="1:30" ht="15.75" x14ac:dyDescent="0.25">
      <c r="A4" s="459" t="str">
        <f>'Customer Info'!B12</f>
        <v>Breakdown of Charges Based on Entered Information</v>
      </c>
      <c r="B4" s="459"/>
      <c r="C4" s="459"/>
      <c r="D4" s="459"/>
      <c r="E4" s="459"/>
      <c r="F4" s="459"/>
      <c r="G4" s="459"/>
      <c r="H4" s="459"/>
      <c r="I4" s="459"/>
      <c r="J4" s="459"/>
      <c r="K4" s="459"/>
      <c r="L4" s="459"/>
      <c r="M4" s="459"/>
      <c r="N4" s="459"/>
      <c r="O4" s="459"/>
      <c r="P4" s="459"/>
    </row>
    <row r="5" spans="1:30" ht="15" x14ac:dyDescent="0.2">
      <c r="A5" s="231"/>
      <c r="B5" s="231"/>
      <c r="C5" s="231"/>
      <c r="D5" s="231"/>
      <c r="E5" s="231"/>
      <c r="F5" s="231"/>
      <c r="G5" s="231"/>
      <c r="H5" s="231" t="s">
        <v>200</v>
      </c>
      <c r="I5" s="231"/>
      <c r="J5" s="231"/>
      <c r="K5" s="231"/>
    </row>
    <row r="6" spans="1:30" x14ac:dyDescent="0.2">
      <c r="A6" s="232">
        <f ca="1">TODAY()</f>
        <v>46051</v>
      </c>
      <c r="B6" s="233"/>
      <c r="C6" s="232"/>
      <c r="D6" s="232"/>
      <c r="E6" s="232"/>
      <c r="F6" s="232"/>
      <c r="G6" s="232"/>
      <c r="H6" s="232"/>
      <c r="I6" s="232"/>
    </row>
    <row r="7" spans="1:30" ht="26.25" x14ac:dyDescent="0.4">
      <c r="A7" s="460"/>
      <c r="B7" s="460"/>
      <c r="C7" s="460"/>
      <c r="D7" s="460"/>
      <c r="E7" s="460"/>
      <c r="F7" s="460"/>
      <c r="G7" s="460"/>
      <c r="H7" s="460"/>
      <c r="I7" s="460"/>
      <c r="J7" s="460"/>
      <c r="K7" s="460"/>
      <c r="L7" s="460"/>
      <c r="M7" s="460"/>
      <c r="N7" s="460"/>
      <c r="O7" s="460"/>
      <c r="P7" s="460"/>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2</v>
      </c>
      <c r="C11" s="240" t="str">
        <f>LOOKUP(B11,R11:AD11,R12:AD12)</f>
        <v>February</v>
      </c>
      <c r="D11" s="240">
        <f>'Customer Info'!C9</f>
        <v>2026</v>
      </c>
      <c r="S11" s="230">
        <v>1</v>
      </c>
      <c r="T11" s="230">
        <v>2</v>
      </c>
      <c r="U11" s="230">
        <v>3</v>
      </c>
      <c r="V11" s="230">
        <v>4</v>
      </c>
      <c r="W11" s="230">
        <v>5</v>
      </c>
      <c r="X11" s="230">
        <v>6</v>
      </c>
      <c r="Y11" s="230">
        <v>7</v>
      </c>
      <c r="Z11" s="230">
        <v>8</v>
      </c>
      <c r="AA11" s="230">
        <v>9</v>
      </c>
      <c r="AB11" s="230">
        <v>10</v>
      </c>
      <c r="AC11" s="230">
        <v>11</v>
      </c>
      <c r="AD11" s="230">
        <v>12</v>
      </c>
    </row>
    <row r="12" spans="1:30" x14ac:dyDescent="0.2">
      <c r="A12" s="461"/>
      <c r="B12" s="461"/>
      <c r="C12" s="461"/>
      <c r="D12" s="461"/>
      <c r="E12" s="461"/>
      <c r="F12" s="461"/>
      <c r="G12" s="461"/>
      <c r="H12" s="461"/>
      <c r="I12" s="461"/>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3" t="s">
        <v>71</v>
      </c>
      <c r="H19" s="454"/>
      <c r="I19" s="454"/>
      <c r="J19" s="455"/>
      <c r="K19" s="245"/>
      <c r="L19" s="456" t="s">
        <v>72</v>
      </c>
      <c r="M19" s="456"/>
      <c r="N19" s="456"/>
      <c r="O19" s="456"/>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Rates'!B147</f>
        <v>825</v>
      </c>
      <c r="J21" s="256">
        <f>SUM(G21:I21)</f>
        <v>825</v>
      </c>
      <c r="L21" s="257"/>
      <c r="M21" s="257"/>
      <c r="N21" s="257">
        <f>I21</f>
        <v>825</v>
      </c>
      <c r="O21" s="256">
        <f>SUM(L21:N21)</f>
        <v>825</v>
      </c>
      <c r="P21" s="258">
        <v>44531</v>
      </c>
    </row>
    <row r="22" spans="1:22" x14ac:dyDescent="0.2">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
      <c r="A23" s="264" t="s">
        <v>82</v>
      </c>
      <c r="B23" s="264"/>
      <c r="C23" s="264"/>
      <c r="D23" s="265"/>
      <c r="E23" s="265"/>
      <c r="F23" s="264"/>
      <c r="G23" s="264"/>
      <c r="H23" s="264"/>
      <c r="I23" s="264"/>
      <c r="J23" s="264"/>
      <c r="K23" s="266"/>
      <c r="L23" s="267"/>
      <c r="M23" s="267"/>
      <c r="N23" s="267">
        <f>SUM(N21:N22)</f>
        <v>825</v>
      </c>
      <c r="O23" s="267">
        <f>SUM(O21:O22)</f>
        <v>825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5.5215000000000004E-3</v>
      </c>
      <c r="J27" s="276">
        <f t="shared" ref="J27:J47" si="0">SUM(G27:I27)</f>
        <v>5.5215000000000004E-3</v>
      </c>
      <c r="K27" s="263" t="s">
        <v>85</v>
      </c>
      <c r="L27" s="91"/>
      <c r="M27" s="91"/>
      <c r="N27" s="91">
        <f t="shared" ref="N27:N32" si="1">ROUND(D27*I27,2)</f>
        <v>0</v>
      </c>
      <c r="O27" s="91">
        <f t="shared" ref="O27:O48" si="2">SUM(L27:N27)</f>
        <v>0</v>
      </c>
      <c r="P27" s="258">
        <f>'Rider Rates'!$D$4</f>
        <v>46022</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46022</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398">
        <f>'Rider Rates'!$B$16</f>
        <v>0</v>
      </c>
      <c r="J32" s="398">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46022</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825</v>
      </c>
      <c r="E42" s="260" t="s">
        <v>92</v>
      </c>
      <c r="F42" s="261" t="s">
        <v>80</v>
      </c>
      <c r="G42" s="284"/>
      <c r="H42" s="253"/>
      <c r="I42" s="285">
        <f>'Rider Rates'!$B$87</f>
        <v>3.5344300000000002E-2</v>
      </c>
      <c r="J42" s="285">
        <f t="shared" si="0"/>
        <v>3.5344300000000002E-2</v>
      </c>
      <c r="K42" s="263"/>
      <c r="L42" s="91"/>
      <c r="M42" s="91"/>
      <c r="N42" s="91">
        <f>ROUND(D42*I42,2)</f>
        <v>29.16</v>
      </c>
      <c r="O42" s="91">
        <f t="shared" si="2"/>
        <v>29.16</v>
      </c>
      <c r="P42" s="258">
        <f>'Rider Rates'!$D$87</f>
        <v>45929</v>
      </c>
      <c r="Q42" s="261"/>
      <c r="R42" s="277"/>
      <c r="S42" s="263"/>
      <c r="T42" s="273"/>
      <c r="V42" s="274"/>
    </row>
    <row r="43" spans="1:22" x14ac:dyDescent="0.2">
      <c r="A43" s="233" t="s">
        <v>101</v>
      </c>
      <c r="D43" s="279">
        <f>$N$23</f>
        <v>825</v>
      </c>
      <c r="E43" s="260" t="s">
        <v>92</v>
      </c>
      <c r="F43" s="261" t="s">
        <v>80</v>
      </c>
      <c r="G43" s="286"/>
      <c r="H43" s="253"/>
      <c r="I43" s="285">
        <f>'Rider Rates'!$B$89</f>
        <v>7.8822199999999995E-2</v>
      </c>
      <c r="J43" s="285">
        <f t="shared" si="0"/>
        <v>7.8822199999999995E-2</v>
      </c>
      <c r="K43" s="263"/>
      <c r="L43" s="91"/>
      <c r="M43" s="91"/>
      <c r="N43" s="91">
        <f>ROUND(D43*I43,2)</f>
        <v>65.03</v>
      </c>
      <c r="O43" s="91">
        <f t="shared" si="2"/>
        <v>65.03</v>
      </c>
      <c r="P43" s="258">
        <f>'Rider Rates'!$D$89</f>
        <v>45987</v>
      </c>
      <c r="Q43" s="261"/>
      <c r="R43" s="277"/>
      <c r="S43" s="263"/>
      <c r="T43" s="273"/>
      <c r="V43" s="274"/>
    </row>
    <row r="44" spans="1:22" x14ac:dyDescent="0.2">
      <c r="A44" s="233" t="s">
        <v>102</v>
      </c>
      <c r="D44" s="279"/>
      <c r="E44" s="260" t="s">
        <v>55</v>
      </c>
      <c r="F44" s="261"/>
      <c r="G44" s="286"/>
      <c r="H44" s="253"/>
      <c r="I44" s="283">
        <f>'Rider Rates'!$B$93</f>
        <v>21.84</v>
      </c>
      <c r="J44" s="283">
        <f t="shared" si="0"/>
        <v>21.84</v>
      </c>
      <c r="K44" s="263"/>
      <c r="L44" s="91"/>
      <c r="M44" s="91"/>
      <c r="N44" s="91">
        <f>I44</f>
        <v>21.84</v>
      </c>
      <c r="O44" s="91">
        <f t="shared" si="2"/>
        <v>21.84</v>
      </c>
      <c r="P44" s="258">
        <f>'Rider Rates'!$D$93</f>
        <v>46022</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825</v>
      </c>
      <c r="E46" s="260" t="s">
        <v>92</v>
      </c>
      <c r="F46" s="261" t="s">
        <v>80</v>
      </c>
      <c r="G46" s="286"/>
      <c r="H46" s="253"/>
      <c r="I46" s="285">
        <f>'Rider Rates'!$B$107</f>
        <v>0.24079249999999999</v>
      </c>
      <c r="J46" s="285">
        <f t="shared" si="0"/>
        <v>0.24079249999999999</v>
      </c>
      <c r="K46" s="263"/>
      <c r="L46" s="91"/>
      <c r="M46" s="91"/>
      <c r="N46" s="91">
        <f>ROUND(D46*I46,2)</f>
        <v>198.65</v>
      </c>
      <c r="O46" s="91">
        <f t="shared" si="2"/>
        <v>198.65</v>
      </c>
      <c r="P46" s="258">
        <f>'Rider Rates'!$D$107</f>
        <v>45987</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315.67</v>
      </c>
      <c r="O55" s="298">
        <f>SUM(O27:O54)</f>
        <v>315.67</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1140.67</v>
      </c>
      <c r="O57" s="303">
        <f>O23+O55</f>
        <v>1140.67</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1140.67</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1140.67</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Urdyew8GIhJTEumXeotdjLFeTXgmlbau5oRQMuD3u75MdEEsYfsyA+BVWjrXfI8tAVBSqq5DwpSLHI6H/5mlQ==" saltValue="dApuXo5bt/yinWm15lqvQ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45"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31746"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31747"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48"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49"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50"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CEB24-77C5-4E15-853E-1BB7CFE38B6C}">
  <sheetPr>
    <tabColor theme="8" tint="0.79998168889431442"/>
    <pageSetUpPr fitToPage="1"/>
  </sheetPr>
  <dimension ref="A1:J148"/>
  <sheetViews>
    <sheetView workbookViewId="0"/>
  </sheetViews>
  <sheetFormatPr defaultRowHeight="12.75" x14ac:dyDescent="0.2"/>
  <cols>
    <col min="1" max="1" width="70.140625" bestFit="1" customWidth="1"/>
    <col min="2" max="2" width="13.42578125" style="477" bestFit="1" customWidth="1"/>
    <col min="3" max="3" width="12.42578125" customWidth="1"/>
    <col min="4" max="4" width="13.5703125" bestFit="1" customWidth="1"/>
    <col min="5" max="5" width="11.5703125" bestFit="1" customWidth="1"/>
    <col min="6" max="6" width="14.85546875" customWidth="1"/>
    <col min="7" max="7" width="15.5703125" customWidth="1"/>
    <col min="8" max="8" width="11.5703125" bestFit="1" customWidth="1"/>
  </cols>
  <sheetData>
    <row r="1" spans="1:10" x14ac:dyDescent="0.2">
      <c r="A1" s="395" t="s">
        <v>233</v>
      </c>
      <c r="B1" s="476" t="s">
        <v>234</v>
      </c>
      <c r="C1" s="395"/>
      <c r="D1" s="395" t="s">
        <v>235</v>
      </c>
      <c r="E1" s="395" t="s">
        <v>234</v>
      </c>
      <c r="F1" s="395" t="s">
        <v>235</v>
      </c>
    </row>
    <row r="3" spans="1:10" x14ac:dyDescent="0.2">
      <c r="A3" s="59" t="s">
        <v>236</v>
      </c>
    </row>
    <row r="4" spans="1:10" x14ac:dyDescent="0.2">
      <c r="A4" s="68" t="s">
        <v>237</v>
      </c>
      <c r="B4" s="478">
        <v>5.5215000000000004E-3</v>
      </c>
      <c r="C4" s="380"/>
      <c r="D4" s="409">
        <v>46022</v>
      </c>
    </row>
    <row r="5" spans="1:10" x14ac:dyDescent="0.2">
      <c r="A5" s="68" t="s">
        <v>238</v>
      </c>
      <c r="B5" s="477">
        <v>1.7560000000000001E-4</v>
      </c>
      <c r="C5" s="377"/>
      <c r="D5" s="409">
        <v>46022</v>
      </c>
    </row>
    <row r="7" spans="1:10" x14ac:dyDescent="0.2">
      <c r="A7" s="59" t="s">
        <v>239</v>
      </c>
      <c r="D7" s="60">
        <v>44531</v>
      </c>
    </row>
    <row r="8" spans="1:10" x14ac:dyDescent="0.2">
      <c r="A8" s="68" t="s">
        <v>240</v>
      </c>
      <c r="B8" s="378">
        <v>4.6499999999999996E-3</v>
      </c>
      <c r="C8" s="378"/>
      <c r="D8" s="60"/>
    </row>
    <row r="9" spans="1:10" x14ac:dyDescent="0.2">
      <c r="A9" s="410" t="s">
        <v>241</v>
      </c>
      <c r="B9" s="378">
        <v>4.1900000000000001E-3</v>
      </c>
      <c r="C9" s="378"/>
      <c r="D9" s="60"/>
    </row>
    <row r="10" spans="1:10" x14ac:dyDescent="0.2">
      <c r="A10" s="68" t="s">
        <v>242</v>
      </c>
      <c r="B10" s="378">
        <v>3.63E-3</v>
      </c>
      <c r="C10" s="378"/>
      <c r="D10" s="60"/>
    </row>
    <row r="12" spans="1:10" x14ac:dyDescent="0.2">
      <c r="A12" s="64" t="s">
        <v>243</v>
      </c>
      <c r="B12" s="379">
        <v>0</v>
      </c>
      <c r="C12" s="379"/>
      <c r="D12" s="60">
        <v>44531</v>
      </c>
    </row>
    <row r="14" spans="1:10" x14ac:dyDescent="0.2">
      <c r="A14" s="146" t="s">
        <v>244</v>
      </c>
      <c r="B14" s="474"/>
      <c r="C14" s="475"/>
      <c r="D14" s="475"/>
      <c r="G14" s="146"/>
      <c r="H14" s="474"/>
      <c r="I14" s="474"/>
      <c r="J14" s="474"/>
    </row>
    <row r="15" spans="1:10" x14ac:dyDescent="0.2">
      <c r="A15" s="410" t="s">
        <v>245</v>
      </c>
      <c r="B15" s="399">
        <v>0</v>
      </c>
      <c r="C15" s="380"/>
      <c r="D15" s="60">
        <v>45716</v>
      </c>
      <c r="G15" s="410"/>
      <c r="H15" s="380"/>
      <c r="I15" s="380"/>
      <c r="J15" s="60"/>
    </row>
    <row r="16" spans="1:10" x14ac:dyDescent="0.2">
      <c r="A16" s="410" t="s">
        <v>246</v>
      </c>
      <c r="B16" s="380">
        <v>0</v>
      </c>
      <c r="C16" s="380"/>
      <c r="D16" s="60">
        <v>45197</v>
      </c>
    </row>
    <row r="18" spans="1:6" x14ac:dyDescent="0.2">
      <c r="A18" s="59" t="s">
        <v>247</v>
      </c>
      <c r="B18" s="479">
        <v>0</v>
      </c>
      <c r="C18" s="60"/>
      <c r="D18" s="60">
        <v>44531</v>
      </c>
      <c r="E18" s="381">
        <v>0</v>
      </c>
      <c r="F18" s="60">
        <v>44531</v>
      </c>
    </row>
    <row r="20" spans="1:6" x14ac:dyDescent="0.2">
      <c r="A20" s="64" t="s">
        <v>248</v>
      </c>
      <c r="B20" s="480" t="s">
        <v>249</v>
      </c>
      <c r="C20" s="402" t="s">
        <v>250</v>
      </c>
    </row>
    <row r="21" spans="1:6" x14ac:dyDescent="0.2">
      <c r="A21" s="410" t="s">
        <v>251</v>
      </c>
      <c r="B21" s="403">
        <v>7.6880000000000004E-2</v>
      </c>
      <c r="C21" s="403">
        <v>7.6880000000000004E-2</v>
      </c>
      <c r="D21" s="60">
        <v>45809</v>
      </c>
    </row>
    <row r="22" spans="1:6" x14ac:dyDescent="0.2">
      <c r="A22" s="410" t="s">
        <v>252</v>
      </c>
      <c r="B22" s="403">
        <v>7.6880000000000004E-2</v>
      </c>
      <c r="C22" s="403">
        <v>7.6880000000000004E-2</v>
      </c>
      <c r="D22" s="60">
        <v>45809</v>
      </c>
    </row>
    <row r="23" spans="1:6" x14ac:dyDescent="0.2">
      <c r="A23" s="410" t="s">
        <v>253</v>
      </c>
      <c r="B23" s="403">
        <v>7.6880000000000004E-2</v>
      </c>
      <c r="C23" s="403">
        <v>7.6880000000000004E-2</v>
      </c>
      <c r="D23" s="60">
        <v>45809</v>
      </c>
    </row>
    <row r="24" spans="1:6" x14ac:dyDescent="0.2">
      <c r="A24" s="410" t="s">
        <v>254</v>
      </c>
      <c r="B24" s="403">
        <v>7.4289999999999995E-2</v>
      </c>
      <c r="C24" s="403">
        <v>7.4289999999999995E-2</v>
      </c>
      <c r="D24" s="60">
        <v>45809</v>
      </c>
    </row>
    <row r="25" spans="1:6" x14ac:dyDescent="0.2">
      <c r="A25" s="410" t="s">
        <v>255</v>
      </c>
      <c r="B25" s="403">
        <v>7.2950000000000001E-2</v>
      </c>
      <c r="C25" s="403">
        <v>7.2950000000000001E-2</v>
      </c>
      <c r="D25" s="60">
        <v>45809</v>
      </c>
    </row>
    <row r="26" spans="1:6" x14ac:dyDescent="0.2">
      <c r="A26" s="68"/>
      <c r="B26" s="400"/>
      <c r="C26" s="400"/>
      <c r="D26" s="60"/>
    </row>
    <row r="27" spans="1:6" x14ac:dyDescent="0.2">
      <c r="A27" s="64" t="s">
        <v>256</v>
      </c>
      <c r="B27" s="480" t="s">
        <v>249</v>
      </c>
      <c r="C27" s="402" t="s">
        <v>250</v>
      </c>
      <c r="D27" s="60"/>
    </row>
    <row r="28" spans="1:6" x14ac:dyDescent="0.2">
      <c r="A28" s="410" t="s">
        <v>257</v>
      </c>
      <c r="B28" s="404">
        <v>2.298E-2</v>
      </c>
      <c r="C28" s="401"/>
      <c r="D28" s="60">
        <v>45809</v>
      </c>
    </row>
    <row r="29" spans="1:6" x14ac:dyDescent="0.2">
      <c r="A29" s="68" t="s">
        <v>258</v>
      </c>
      <c r="B29" s="400">
        <v>3.18762E-2</v>
      </c>
      <c r="C29" s="400">
        <v>3.18762E-2</v>
      </c>
      <c r="D29" s="60">
        <v>45809</v>
      </c>
    </row>
    <row r="30" spans="1:6" x14ac:dyDescent="0.2">
      <c r="A30" s="68" t="s">
        <v>259</v>
      </c>
      <c r="B30" s="400">
        <v>3.0280600000000001E-2</v>
      </c>
      <c r="C30" s="400">
        <v>1.72503E-2</v>
      </c>
      <c r="D30" s="60">
        <v>45809</v>
      </c>
    </row>
    <row r="31" spans="1:6" x14ac:dyDescent="0.2">
      <c r="A31" s="68" t="s">
        <v>260</v>
      </c>
      <c r="B31" s="400">
        <v>2.8333000000000001E-2</v>
      </c>
      <c r="C31" s="400">
        <v>2.0174299999999999E-2</v>
      </c>
      <c r="D31" s="60">
        <v>45809</v>
      </c>
    </row>
    <row r="32" spans="1:6" x14ac:dyDescent="0.2">
      <c r="A32" s="68" t="s">
        <v>261</v>
      </c>
      <c r="B32" s="400">
        <v>3.97676E-2</v>
      </c>
      <c r="C32" s="400"/>
      <c r="D32" s="60">
        <v>45809</v>
      </c>
    </row>
    <row r="33" spans="1:4" x14ac:dyDescent="0.2">
      <c r="A33" s="68" t="s">
        <v>262</v>
      </c>
      <c r="B33" s="400">
        <v>1.3643000000000001E-2</v>
      </c>
      <c r="C33" s="401"/>
      <c r="D33" s="60">
        <v>45809</v>
      </c>
    </row>
    <row r="34" spans="1:4" x14ac:dyDescent="0.2">
      <c r="A34" s="68" t="s">
        <v>263</v>
      </c>
      <c r="B34" s="400">
        <v>0.19200049999999999</v>
      </c>
      <c r="C34" s="401"/>
      <c r="D34" s="60">
        <v>45809</v>
      </c>
    </row>
    <row r="35" spans="1:4" x14ac:dyDescent="0.2">
      <c r="A35" s="68" t="s">
        <v>264</v>
      </c>
      <c r="B35" s="400">
        <v>0</v>
      </c>
      <c r="C35" s="401"/>
      <c r="D35" s="60">
        <v>45809</v>
      </c>
    </row>
    <row r="36" spans="1:4" x14ac:dyDescent="0.2">
      <c r="A36" s="68" t="s">
        <v>265</v>
      </c>
      <c r="B36" s="400">
        <v>1.8849999999999999E-2</v>
      </c>
      <c r="C36" s="400"/>
      <c r="D36" s="60">
        <v>45809</v>
      </c>
    </row>
    <row r="37" spans="1:4" x14ac:dyDescent="0.2">
      <c r="A37" s="410" t="s">
        <v>253</v>
      </c>
      <c r="B37" s="400">
        <v>1.8180000000000002E-2</v>
      </c>
      <c r="C37" s="401"/>
      <c r="D37" s="60">
        <v>45809</v>
      </c>
    </row>
    <row r="38" spans="1:4" x14ac:dyDescent="0.2">
      <c r="A38" s="410" t="s">
        <v>266</v>
      </c>
      <c r="B38" s="400">
        <v>0.15807350000000001</v>
      </c>
      <c r="C38" s="401"/>
      <c r="D38" s="60">
        <v>45809</v>
      </c>
    </row>
    <row r="39" spans="1:4" x14ac:dyDescent="0.2">
      <c r="A39" s="410" t="s">
        <v>267</v>
      </c>
      <c r="B39" s="400">
        <v>0</v>
      </c>
      <c r="C39" s="401"/>
      <c r="D39" s="60">
        <v>45809</v>
      </c>
    </row>
    <row r="40" spans="1:4" x14ac:dyDescent="0.2">
      <c r="A40" s="68" t="s">
        <v>268</v>
      </c>
      <c r="B40" s="400">
        <v>5.64179E-2</v>
      </c>
      <c r="D40" s="60">
        <v>45809</v>
      </c>
    </row>
    <row r="41" spans="1:4" x14ac:dyDescent="0.2">
      <c r="A41" s="68" t="s">
        <v>269</v>
      </c>
      <c r="B41" s="401">
        <v>1.928E-4</v>
      </c>
      <c r="D41" s="60">
        <v>45809</v>
      </c>
    </row>
    <row r="42" spans="1:4" x14ac:dyDescent="0.2">
      <c r="A42" s="410" t="s">
        <v>254</v>
      </c>
      <c r="B42" s="401">
        <v>1.3849999999999999E-2</v>
      </c>
      <c r="D42" s="60">
        <v>45809</v>
      </c>
    </row>
    <row r="43" spans="1:4" x14ac:dyDescent="0.2">
      <c r="A43" s="410" t="s">
        <v>255</v>
      </c>
      <c r="B43" s="401">
        <v>1.6299999999999999E-2</v>
      </c>
      <c r="D43" s="60">
        <v>45809</v>
      </c>
    </row>
    <row r="44" spans="1:4" x14ac:dyDescent="0.2">
      <c r="A44" s="410" t="s">
        <v>270</v>
      </c>
      <c r="B44" s="401">
        <v>2.10674E-2</v>
      </c>
      <c r="C44" s="405">
        <v>9.0900000000000009E-3</v>
      </c>
      <c r="D44" s="60">
        <v>45809</v>
      </c>
    </row>
    <row r="45" spans="1:4" x14ac:dyDescent="0.2">
      <c r="A45" s="410" t="s">
        <v>271</v>
      </c>
      <c r="B45" s="401">
        <v>1.6396899999999999E-2</v>
      </c>
      <c r="C45" s="405">
        <v>6.9249999999999997E-3</v>
      </c>
      <c r="D45" s="60">
        <v>45809</v>
      </c>
    </row>
    <row r="46" spans="1:4" x14ac:dyDescent="0.2">
      <c r="A46" s="410" t="s">
        <v>272</v>
      </c>
      <c r="B46" s="401">
        <v>1.9659699999999999E-2</v>
      </c>
      <c r="C46" s="405">
        <v>8.1499999999999993E-3</v>
      </c>
      <c r="D46" s="60">
        <v>45809</v>
      </c>
    </row>
    <row r="47" spans="1:4" x14ac:dyDescent="0.2">
      <c r="D47" s="60"/>
    </row>
    <row r="48" spans="1:4" x14ac:dyDescent="0.2">
      <c r="A48" s="68"/>
      <c r="D48" s="60"/>
    </row>
    <row r="49" spans="1:8" x14ac:dyDescent="0.2">
      <c r="A49" s="64" t="s">
        <v>273</v>
      </c>
      <c r="B49" s="478">
        <v>2.7588999999999999E-3</v>
      </c>
      <c r="C49" s="380"/>
      <c r="D49" s="60">
        <v>46022</v>
      </c>
    </row>
    <row r="50" spans="1:8" x14ac:dyDescent="0.2">
      <c r="A50" s="68"/>
      <c r="D50" s="60"/>
    </row>
    <row r="51" spans="1:8" x14ac:dyDescent="0.2">
      <c r="A51" s="64" t="s">
        <v>96</v>
      </c>
      <c r="B51" s="481" t="s">
        <v>274</v>
      </c>
      <c r="C51" s="202" t="s">
        <v>275</v>
      </c>
      <c r="D51" s="202" t="s">
        <v>76</v>
      </c>
      <c r="E51" s="202" t="s">
        <v>276</v>
      </c>
    </row>
    <row r="52" spans="1:8" x14ac:dyDescent="0.2">
      <c r="A52" s="410" t="s">
        <v>277</v>
      </c>
      <c r="B52" s="407">
        <v>0</v>
      </c>
      <c r="C52" s="396">
        <v>0</v>
      </c>
      <c r="D52" s="397">
        <f>SUM(B52:C52)</f>
        <v>0</v>
      </c>
      <c r="E52" s="411">
        <v>45883</v>
      </c>
      <c r="F52" s="412"/>
    </row>
    <row r="53" spans="1:8" x14ac:dyDescent="0.2">
      <c r="A53" s="410" t="s">
        <v>278</v>
      </c>
      <c r="B53" s="408">
        <v>0</v>
      </c>
      <c r="C53" s="382">
        <v>0</v>
      </c>
      <c r="D53" s="412">
        <f>SUM(B53:C53)</f>
        <v>0</v>
      </c>
      <c r="E53" s="411">
        <v>45883</v>
      </c>
      <c r="F53" s="383"/>
    </row>
    <row r="54" spans="1:8" x14ac:dyDescent="0.2">
      <c r="A54" s="410"/>
      <c r="B54" s="384"/>
      <c r="D54" s="60"/>
    </row>
    <row r="55" spans="1:8" x14ac:dyDescent="0.2">
      <c r="A55" s="68"/>
      <c r="D55" s="60"/>
    </row>
    <row r="56" spans="1:8" x14ac:dyDescent="0.2">
      <c r="A56" s="64" t="s">
        <v>279</v>
      </c>
    </row>
    <row r="57" spans="1:8" x14ac:dyDescent="0.2">
      <c r="A57" s="410" t="s">
        <v>251</v>
      </c>
      <c r="B57" s="477">
        <v>3.55042E-2</v>
      </c>
      <c r="D57" s="60">
        <v>45929</v>
      </c>
      <c r="F57" s="44" t="s">
        <v>280</v>
      </c>
      <c r="G57" s="413">
        <v>2.1561400000000001E-2</v>
      </c>
      <c r="H57" s="60">
        <v>45929</v>
      </c>
    </row>
    <row r="58" spans="1:8" x14ac:dyDescent="0.2">
      <c r="A58" s="410" t="s">
        <v>281</v>
      </c>
      <c r="B58" s="482">
        <v>2.1561400000000001E-2</v>
      </c>
      <c r="D58" s="60">
        <v>45929</v>
      </c>
      <c r="F58" s="44" t="s">
        <v>282</v>
      </c>
      <c r="G58" s="413">
        <v>2.8046499999999999E-2</v>
      </c>
      <c r="H58" s="60">
        <v>45929</v>
      </c>
    </row>
    <row r="59" spans="1:8" x14ac:dyDescent="0.2">
      <c r="A59" s="410" t="s">
        <v>253</v>
      </c>
      <c r="B59" s="477">
        <v>4.3439999999999999E-4</v>
      </c>
      <c r="D59" s="60">
        <v>45929</v>
      </c>
    </row>
    <row r="60" spans="1:8" x14ac:dyDescent="0.2">
      <c r="A60" s="410" t="s">
        <v>254</v>
      </c>
      <c r="B60" s="477">
        <v>4.1980000000000001E-4</v>
      </c>
      <c r="D60" s="60">
        <v>45929</v>
      </c>
    </row>
    <row r="61" spans="1:8" x14ac:dyDescent="0.2">
      <c r="A61" s="410" t="s">
        <v>255</v>
      </c>
      <c r="B61" s="477">
        <v>4.1229999999999999E-4</v>
      </c>
      <c r="D61" s="60">
        <v>45929</v>
      </c>
    </row>
    <row r="63" spans="1:8" x14ac:dyDescent="0.2">
      <c r="A63" s="64" t="s">
        <v>283</v>
      </c>
    </row>
    <row r="64" spans="1:8" x14ac:dyDescent="0.2">
      <c r="A64" s="410" t="s">
        <v>253</v>
      </c>
      <c r="B64" s="385">
        <v>7.49</v>
      </c>
      <c r="D64" s="60">
        <v>45929</v>
      </c>
    </row>
    <row r="65" spans="1:4" x14ac:dyDescent="0.2">
      <c r="A65" s="410" t="s">
        <v>254</v>
      </c>
      <c r="B65" s="385">
        <v>8.67</v>
      </c>
      <c r="D65" s="60">
        <v>45929</v>
      </c>
    </row>
    <row r="66" spans="1:4" x14ac:dyDescent="0.2">
      <c r="A66" s="410" t="s">
        <v>255</v>
      </c>
      <c r="B66" s="385">
        <v>7.16</v>
      </c>
      <c r="D66" s="60">
        <v>45929</v>
      </c>
    </row>
    <row r="67" spans="1:4" x14ac:dyDescent="0.2">
      <c r="A67" s="410"/>
      <c r="B67" s="385"/>
      <c r="D67" s="60"/>
    </row>
    <row r="68" spans="1:4" x14ac:dyDescent="0.2">
      <c r="A68" s="64" t="s">
        <v>284</v>
      </c>
      <c r="B68" s="377">
        <v>7.3870000000000001E-4</v>
      </c>
      <c r="D68" s="60">
        <v>45747</v>
      </c>
    </row>
    <row r="69" spans="1:4" x14ac:dyDescent="0.2">
      <c r="A69" s="68"/>
      <c r="D69" s="60"/>
    </row>
    <row r="70" spans="1:4" x14ac:dyDescent="0.2">
      <c r="A70" s="64" t="s">
        <v>285</v>
      </c>
      <c r="C70" s="406" t="s">
        <v>286</v>
      </c>
      <c r="D70" s="60"/>
    </row>
    <row r="71" spans="1:4" x14ac:dyDescent="0.2">
      <c r="A71" s="68" t="s">
        <v>287</v>
      </c>
      <c r="B71" s="377">
        <v>0</v>
      </c>
      <c r="C71" s="377">
        <v>0</v>
      </c>
      <c r="D71" s="60">
        <v>44531</v>
      </c>
    </row>
    <row r="72" spans="1:4" x14ac:dyDescent="0.2">
      <c r="A72" s="68" t="s">
        <v>265</v>
      </c>
      <c r="B72" s="377">
        <v>0</v>
      </c>
      <c r="C72" s="377">
        <v>0</v>
      </c>
      <c r="D72" s="60">
        <v>44531</v>
      </c>
    </row>
    <row r="73" spans="1:4" x14ac:dyDescent="0.2">
      <c r="A73" s="68" t="s">
        <v>288</v>
      </c>
      <c r="B73" s="377">
        <v>0</v>
      </c>
      <c r="C73" s="377">
        <v>0</v>
      </c>
      <c r="D73" s="60">
        <v>44531</v>
      </c>
    </row>
    <row r="74" spans="1:4" x14ac:dyDescent="0.2">
      <c r="A74" s="68" t="s">
        <v>289</v>
      </c>
      <c r="B74" s="377">
        <v>0</v>
      </c>
      <c r="C74" s="377">
        <v>0</v>
      </c>
      <c r="D74" s="60">
        <v>44531</v>
      </c>
    </row>
    <row r="75" spans="1:4" x14ac:dyDescent="0.2">
      <c r="A75" s="68" t="s">
        <v>290</v>
      </c>
      <c r="B75" s="377">
        <v>0</v>
      </c>
      <c r="C75" s="377">
        <v>0</v>
      </c>
      <c r="D75" s="60">
        <v>44531</v>
      </c>
    </row>
    <row r="76" spans="1:4" x14ac:dyDescent="0.2">
      <c r="A76" s="68" t="s">
        <v>291</v>
      </c>
      <c r="B76" s="377">
        <v>0</v>
      </c>
      <c r="C76" s="377">
        <v>0</v>
      </c>
      <c r="D76" s="60">
        <v>44531</v>
      </c>
    </row>
    <row r="77" spans="1:4" x14ac:dyDescent="0.2">
      <c r="A77" s="68"/>
      <c r="B77" s="380"/>
      <c r="C77" s="380"/>
      <c r="D77" s="60"/>
    </row>
    <row r="78" spans="1:4" x14ac:dyDescent="0.2">
      <c r="A78" s="64" t="s">
        <v>292</v>
      </c>
      <c r="D78" s="60"/>
    </row>
    <row r="79" spans="1:4" x14ac:dyDescent="0.2">
      <c r="A79" s="68" t="s">
        <v>265</v>
      </c>
      <c r="B79" s="385">
        <v>0</v>
      </c>
      <c r="C79" s="377"/>
      <c r="D79" s="60">
        <v>45444</v>
      </c>
    </row>
    <row r="80" spans="1:4" x14ac:dyDescent="0.2">
      <c r="A80" s="68" t="s">
        <v>289</v>
      </c>
      <c r="B80" s="385">
        <v>0</v>
      </c>
      <c r="C80" s="377"/>
      <c r="D80" s="60">
        <v>45444</v>
      </c>
    </row>
    <row r="81" spans="1:6" x14ac:dyDescent="0.2">
      <c r="A81" s="68"/>
      <c r="B81" s="380"/>
      <c r="C81" s="380"/>
      <c r="D81" s="60"/>
    </row>
    <row r="82" spans="1:6" x14ac:dyDescent="0.2">
      <c r="A82" s="64" t="s">
        <v>293</v>
      </c>
      <c r="D82" s="60"/>
    </row>
    <row r="83" spans="1:6" x14ac:dyDescent="0.2">
      <c r="A83" s="68" t="s">
        <v>288</v>
      </c>
      <c r="B83" s="385">
        <v>0</v>
      </c>
      <c r="C83" s="377"/>
      <c r="D83" s="60">
        <v>45444</v>
      </c>
    </row>
    <row r="84" spans="1:6" x14ac:dyDescent="0.2">
      <c r="A84" s="68" t="s">
        <v>290</v>
      </c>
      <c r="B84" s="385">
        <v>0</v>
      </c>
      <c r="C84" s="377"/>
      <c r="D84" s="60">
        <v>45444</v>
      </c>
    </row>
    <row r="85" spans="1:6" x14ac:dyDescent="0.2">
      <c r="A85" s="68" t="s">
        <v>291</v>
      </c>
      <c r="B85" s="385">
        <v>0</v>
      </c>
      <c r="C85" s="380"/>
      <c r="D85" s="60">
        <v>45444</v>
      </c>
    </row>
    <row r="86" spans="1:6" x14ac:dyDescent="0.2">
      <c r="A86" s="68"/>
      <c r="B86" s="380"/>
      <c r="C86" s="380"/>
      <c r="D86" s="60"/>
    </row>
    <row r="87" spans="1:6" x14ac:dyDescent="0.2">
      <c r="A87" s="64" t="s">
        <v>294</v>
      </c>
      <c r="B87" s="414">
        <v>3.5344300000000002E-2</v>
      </c>
      <c r="C87" s="386"/>
      <c r="D87" s="60">
        <v>45929</v>
      </c>
    </row>
    <row r="88" spans="1:6" x14ac:dyDescent="0.2">
      <c r="A88" s="68"/>
      <c r="D88" s="60"/>
    </row>
    <row r="89" spans="1:6" x14ac:dyDescent="0.2">
      <c r="A89" s="59" t="s">
        <v>295</v>
      </c>
      <c r="B89" s="387">
        <v>7.8822199999999995E-2</v>
      </c>
      <c r="C89" s="387"/>
      <c r="D89" s="60">
        <v>45987</v>
      </c>
    </row>
    <row r="91" spans="1:6" x14ac:dyDescent="0.2">
      <c r="A91" s="59" t="s">
        <v>296</v>
      </c>
      <c r="D91" s="60"/>
    </row>
    <row r="92" spans="1:6" x14ac:dyDescent="0.2">
      <c r="A92" s="410" t="s">
        <v>251</v>
      </c>
      <c r="B92" s="383">
        <v>2.62</v>
      </c>
      <c r="C92" s="383"/>
      <c r="D92" s="60">
        <v>46022</v>
      </c>
    </row>
    <row r="93" spans="1:6" x14ac:dyDescent="0.2">
      <c r="A93" s="410" t="s">
        <v>297</v>
      </c>
      <c r="B93" s="383">
        <v>21.84</v>
      </c>
      <c r="C93" s="383"/>
      <c r="D93" s="60">
        <v>46022</v>
      </c>
    </row>
    <row r="95" spans="1:6" x14ac:dyDescent="0.2">
      <c r="A95" s="59" t="s">
        <v>298</v>
      </c>
      <c r="B95" s="387"/>
      <c r="C95" s="387"/>
      <c r="D95" s="60"/>
    </row>
    <row r="96" spans="1:6" x14ac:dyDescent="0.2">
      <c r="A96" s="68" t="s">
        <v>287</v>
      </c>
      <c r="B96" s="377">
        <v>0</v>
      </c>
      <c r="C96" s="377"/>
      <c r="D96" s="60">
        <v>44531</v>
      </c>
      <c r="E96" s="388"/>
      <c r="F96" s="60"/>
    </row>
    <row r="97" spans="1:6" x14ac:dyDescent="0.2">
      <c r="A97" s="68" t="s">
        <v>265</v>
      </c>
      <c r="B97" s="377">
        <v>0</v>
      </c>
      <c r="C97" s="377"/>
      <c r="D97" s="60">
        <v>44531</v>
      </c>
      <c r="E97" s="388"/>
      <c r="F97" s="60"/>
    </row>
    <row r="98" spans="1:6" x14ac:dyDescent="0.2">
      <c r="A98" s="68" t="s">
        <v>299</v>
      </c>
      <c r="B98" s="377">
        <v>0</v>
      </c>
      <c r="C98" s="377"/>
      <c r="D98" s="60">
        <v>44531</v>
      </c>
      <c r="E98" s="388"/>
      <c r="F98" s="60"/>
    </row>
    <row r="99" spans="1:6" x14ac:dyDescent="0.2">
      <c r="A99" s="68" t="s">
        <v>300</v>
      </c>
      <c r="B99" s="377">
        <v>0</v>
      </c>
      <c r="C99" s="377"/>
      <c r="D99" s="60">
        <v>44531</v>
      </c>
      <c r="E99" s="388"/>
      <c r="F99" s="60"/>
    </row>
    <row r="100" spans="1:6" x14ac:dyDescent="0.2">
      <c r="A100" s="68" t="s">
        <v>301</v>
      </c>
      <c r="B100" s="377">
        <v>0</v>
      </c>
      <c r="C100" s="377"/>
      <c r="D100" s="60">
        <v>44531</v>
      </c>
      <c r="E100" s="388"/>
      <c r="F100" s="60"/>
    </row>
    <row r="101" spans="1:6" x14ac:dyDescent="0.2">
      <c r="A101" s="68" t="s">
        <v>302</v>
      </c>
      <c r="B101" s="377">
        <v>0</v>
      </c>
      <c r="C101" s="377"/>
      <c r="D101" s="60">
        <v>44531</v>
      </c>
      <c r="E101" s="388"/>
      <c r="F101" s="60"/>
    </row>
    <row r="102" spans="1:6" x14ac:dyDescent="0.2">
      <c r="A102" s="68" t="s">
        <v>303</v>
      </c>
      <c r="B102" s="377">
        <v>0</v>
      </c>
      <c r="C102" s="377"/>
      <c r="D102" s="60">
        <v>44531</v>
      </c>
      <c r="E102" s="388"/>
      <c r="F102" s="60"/>
    </row>
    <row r="103" spans="1:6" x14ac:dyDescent="0.2">
      <c r="A103" s="68" t="s">
        <v>304</v>
      </c>
      <c r="B103" s="377">
        <v>0</v>
      </c>
      <c r="C103" s="377"/>
      <c r="D103" s="60">
        <v>44531</v>
      </c>
      <c r="E103" s="388"/>
      <c r="F103" s="60"/>
    </row>
    <row r="104" spans="1:6" x14ac:dyDescent="0.2">
      <c r="A104" s="68" t="s">
        <v>305</v>
      </c>
      <c r="B104" s="377">
        <v>0</v>
      </c>
      <c r="C104" s="377"/>
      <c r="D104" s="60">
        <v>44531</v>
      </c>
      <c r="E104" s="388"/>
      <c r="F104" s="60"/>
    </row>
    <row r="105" spans="1:6" x14ac:dyDescent="0.2">
      <c r="A105" s="68" t="s">
        <v>306</v>
      </c>
      <c r="B105" s="377">
        <v>0</v>
      </c>
      <c r="C105" s="377"/>
      <c r="D105" s="60">
        <v>44531</v>
      </c>
      <c r="E105" s="388"/>
      <c r="F105" s="60"/>
    </row>
    <row r="107" spans="1:6" x14ac:dyDescent="0.2">
      <c r="A107" s="59" t="s">
        <v>307</v>
      </c>
      <c r="B107" s="416">
        <v>0.24079249999999999</v>
      </c>
      <c r="C107" s="387"/>
      <c r="D107" s="415">
        <v>45987</v>
      </c>
    </row>
    <row r="109" spans="1:6" x14ac:dyDescent="0.2">
      <c r="A109" s="410" t="s">
        <v>251</v>
      </c>
      <c r="B109" s="383">
        <v>0</v>
      </c>
      <c r="C109" s="383"/>
      <c r="D109" s="60">
        <v>44894</v>
      </c>
    </row>
    <row r="110" spans="1:6" x14ac:dyDescent="0.2">
      <c r="A110" s="410" t="s">
        <v>297</v>
      </c>
      <c r="B110" s="383">
        <v>0</v>
      </c>
      <c r="C110" s="383"/>
      <c r="D110" s="60">
        <v>44894</v>
      </c>
    </row>
    <row r="112" spans="1:6" x14ac:dyDescent="0.2">
      <c r="A112" s="64" t="s">
        <v>308</v>
      </c>
      <c r="D112" s="60"/>
    </row>
    <row r="113" spans="1:5" x14ac:dyDescent="0.2">
      <c r="A113" s="68" t="s">
        <v>309</v>
      </c>
      <c r="B113" s="389">
        <v>3.8972999999999998E-3</v>
      </c>
      <c r="C113" s="380"/>
      <c r="D113" s="60">
        <v>44531</v>
      </c>
    </row>
    <row r="114" spans="1:5" x14ac:dyDescent="0.2">
      <c r="A114" s="68" t="s">
        <v>310</v>
      </c>
      <c r="B114" s="389">
        <v>3.7618E-3</v>
      </c>
      <c r="C114" s="380"/>
      <c r="D114" s="60">
        <v>44531</v>
      </c>
    </row>
    <row r="115" spans="1:5" x14ac:dyDescent="0.2">
      <c r="A115" s="68" t="s">
        <v>311</v>
      </c>
      <c r="B115" s="389">
        <v>3.6865999999999999E-3</v>
      </c>
      <c r="C115" s="380"/>
      <c r="D115" s="60">
        <v>44531</v>
      </c>
    </row>
    <row r="117" spans="1:5" x14ac:dyDescent="0.2">
      <c r="A117" s="64" t="s">
        <v>107</v>
      </c>
    </row>
    <row r="118" spans="1:5" x14ac:dyDescent="0.2">
      <c r="A118" s="68" t="s">
        <v>251</v>
      </c>
      <c r="B118" s="383">
        <v>0</v>
      </c>
      <c r="D118" s="60">
        <v>45657</v>
      </c>
    </row>
    <row r="119" spans="1:5" x14ac:dyDescent="0.2">
      <c r="A119" s="68" t="s">
        <v>297</v>
      </c>
      <c r="B119" s="383">
        <v>0</v>
      </c>
      <c r="D119" s="60">
        <v>45657</v>
      </c>
    </row>
    <row r="121" spans="1:5" x14ac:dyDescent="0.2">
      <c r="A121" s="59" t="s">
        <v>105</v>
      </c>
      <c r="D121" s="60"/>
    </row>
    <row r="122" spans="1:5" x14ac:dyDescent="0.2">
      <c r="A122" s="410" t="s">
        <v>251</v>
      </c>
      <c r="B122" s="483">
        <v>0.2</v>
      </c>
      <c r="C122" s="383"/>
      <c r="D122" s="60">
        <v>45958</v>
      </c>
    </row>
    <row r="123" spans="1:5" x14ac:dyDescent="0.2">
      <c r="A123" s="410" t="s">
        <v>297</v>
      </c>
      <c r="B123" s="483">
        <v>0.99</v>
      </c>
      <c r="C123" s="383"/>
      <c r="D123" s="60">
        <v>45958</v>
      </c>
    </row>
    <row r="125" spans="1:5" x14ac:dyDescent="0.2">
      <c r="A125" s="64" t="s">
        <v>108</v>
      </c>
      <c r="B125" s="390"/>
      <c r="E125" s="60"/>
    </row>
    <row r="126" spans="1:5" x14ac:dyDescent="0.2">
      <c r="A126" s="410" t="s">
        <v>251</v>
      </c>
      <c r="B126" s="477">
        <v>0</v>
      </c>
      <c r="C126" s="60"/>
      <c r="E126" s="60">
        <v>45883</v>
      </c>
    </row>
    <row r="127" spans="1:5" x14ac:dyDescent="0.2">
      <c r="A127" s="68" t="s">
        <v>237</v>
      </c>
      <c r="B127" s="477">
        <v>0</v>
      </c>
      <c r="C127" s="391">
        <v>242</v>
      </c>
      <c r="D127" t="s">
        <v>312</v>
      </c>
      <c r="E127" s="60">
        <v>45883</v>
      </c>
    </row>
    <row r="128" spans="1:5" x14ac:dyDescent="0.2">
      <c r="A128" s="68" t="s">
        <v>238</v>
      </c>
      <c r="B128" s="477">
        <v>0</v>
      </c>
      <c r="E128" s="60">
        <v>45883</v>
      </c>
    </row>
    <row r="130" spans="1:8" x14ac:dyDescent="0.2">
      <c r="A130" s="64" t="s">
        <v>109</v>
      </c>
    </row>
    <row r="131" spans="1:8" x14ac:dyDescent="0.2">
      <c r="A131" s="410" t="s">
        <v>251</v>
      </c>
      <c r="B131" s="391">
        <v>0</v>
      </c>
      <c r="D131" s="60">
        <v>44531</v>
      </c>
    </row>
    <row r="132" spans="1:8" x14ac:dyDescent="0.2">
      <c r="A132" s="410" t="s">
        <v>281</v>
      </c>
      <c r="B132" s="391">
        <v>0</v>
      </c>
      <c r="D132" s="60">
        <v>44531</v>
      </c>
    </row>
    <row r="133" spans="1:8" x14ac:dyDescent="0.2">
      <c r="A133" s="410" t="s">
        <v>253</v>
      </c>
      <c r="B133" s="391">
        <v>0</v>
      </c>
      <c r="D133" s="60">
        <v>44531</v>
      </c>
    </row>
    <row r="134" spans="1:8" x14ac:dyDescent="0.2">
      <c r="A134" s="410" t="s">
        <v>254</v>
      </c>
      <c r="B134" s="391">
        <v>0</v>
      </c>
      <c r="D134" s="60">
        <v>44531</v>
      </c>
    </row>
    <row r="135" spans="1:8" x14ac:dyDescent="0.2">
      <c r="A135" s="410" t="s">
        <v>255</v>
      </c>
      <c r="B135" s="391">
        <v>0</v>
      </c>
      <c r="D135" s="60">
        <v>44531</v>
      </c>
    </row>
    <row r="137" spans="1:8" x14ac:dyDescent="0.2">
      <c r="A137" s="59" t="s">
        <v>110</v>
      </c>
      <c r="D137" s="60"/>
    </row>
    <row r="138" spans="1:8" x14ac:dyDescent="0.2">
      <c r="A138" s="410" t="s">
        <v>251</v>
      </c>
      <c r="B138" s="383">
        <v>0</v>
      </c>
      <c r="C138" s="383"/>
      <c r="D138" s="60">
        <v>44531</v>
      </c>
    </row>
    <row r="139" spans="1:8" x14ac:dyDescent="0.2">
      <c r="A139" s="410" t="s">
        <v>297</v>
      </c>
      <c r="B139" s="383">
        <v>0</v>
      </c>
      <c r="C139" s="383"/>
      <c r="D139" s="60">
        <v>44531</v>
      </c>
    </row>
    <row r="141" spans="1:8" x14ac:dyDescent="0.2">
      <c r="A141" s="59" t="s">
        <v>111</v>
      </c>
      <c r="D141" t="s">
        <v>313</v>
      </c>
    </row>
    <row r="143" spans="1:8" x14ac:dyDescent="0.2">
      <c r="A143" s="59" t="s">
        <v>314</v>
      </c>
      <c r="B143" s="392">
        <v>10</v>
      </c>
      <c r="C143" s="384">
        <v>3.7427700000000001E-2</v>
      </c>
      <c r="D143" s="384">
        <v>1.5787499999999999E-2</v>
      </c>
      <c r="E143" s="392"/>
      <c r="F143" s="392">
        <v>0</v>
      </c>
      <c r="G143" s="392">
        <v>0</v>
      </c>
      <c r="H143" s="60">
        <v>45444</v>
      </c>
    </row>
    <row r="145" spans="1:8" x14ac:dyDescent="0.2">
      <c r="A145" s="59" t="s">
        <v>315</v>
      </c>
      <c r="B145" s="393">
        <v>9.4</v>
      </c>
      <c r="C145" s="394">
        <v>2.0634799999999998E-2</v>
      </c>
      <c r="D145" s="392">
        <v>0</v>
      </c>
      <c r="E145" s="392">
        <v>0</v>
      </c>
      <c r="F145" s="392">
        <v>0</v>
      </c>
      <c r="G145" s="393">
        <v>0</v>
      </c>
      <c r="H145" s="60">
        <v>45444</v>
      </c>
    </row>
    <row r="146" spans="1:8" x14ac:dyDescent="0.2">
      <c r="A146" s="59" t="s">
        <v>316</v>
      </c>
      <c r="B146" s="393">
        <v>138.5</v>
      </c>
      <c r="C146" s="394">
        <v>1.3832199999999999E-2</v>
      </c>
      <c r="D146" s="392">
        <v>0</v>
      </c>
      <c r="E146" s="392">
        <v>0</v>
      </c>
      <c r="F146" s="392">
        <v>0</v>
      </c>
      <c r="G146" s="393">
        <v>0</v>
      </c>
      <c r="H146" s="60">
        <v>45444</v>
      </c>
    </row>
    <row r="147" spans="1:8" x14ac:dyDescent="0.2">
      <c r="A147" s="59" t="s">
        <v>317</v>
      </c>
      <c r="B147" s="393">
        <v>825</v>
      </c>
      <c r="C147" s="394">
        <v>5.9799999999999997E-5</v>
      </c>
      <c r="D147" s="392">
        <v>0</v>
      </c>
      <c r="E147" s="392">
        <v>0</v>
      </c>
      <c r="F147" s="392">
        <v>0</v>
      </c>
      <c r="G147" s="393">
        <v>0</v>
      </c>
      <c r="H147" s="60">
        <v>45444</v>
      </c>
    </row>
    <row r="148" spans="1:8" x14ac:dyDescent="0.2">
      <c r="A148" s="59" t="s">
        <v>318</v>
      </c>
      <c r="B148" s="393">
        <v>3600</v>
      </c>
      <c r="C148" s="394">
        <v>5.9799999999999997E-5</v>
      </c>
      <c r="D148" s="392">
        <v>0</v>
      </c>
      <c r="E148" s="392">
        <v>0</v>
      </c>
      <c r="F148" s="392">
        <v>0</v>
      </c>
      <c r="G148" s="393">
        <v>0</v>
      </c>
      <c r="H148" s="60">
        <v>45444</v>
      </c>
    </row>
  </sheetData>
  <sheetProtection algorithmName="SHA-512" hashValue="OrifofZpTO7mdXNN/UvERQLraSJWgb0fWYRV2smVqpTBb2/r/PrD+b7igtXg6GbUceR9rlsjLoWHrC226xZ+Qw==" saltValue="157R2LxqYib8BwV/CqusqQ==" spinCount="100000" sheet="1" objects="1" scenarios="1"/>
  <mergeCells count="2">
    <mergeCell ref="B14:D14"/>
    <mergeCell ref="H14:J14"/>
  </mergeCells>
  <hyperlinks>
    <hyperlink ref="A40" r:id="rId1" display="GS-@ TOD (On-Peak)" xr:uid="{4055A2B4-69CA-46DF-AFF7-0E56B4403F35}"/>
    <hyperlink ref="A41" r:id="rId2" display="GS-@ TOD (On-Peak)" xr:uid="{0ADAEA51-5CC0-45D1-88B6-23E122FFF865}"/>
  </hyperlinks>
  <printOptions gridLines="1"/>
  <pageMargins left="0" right="0" top="0.5" bottom="0.5" header="0.25" footer="0.25"/>
  <pageSetup scale="70" fitToHeight="4" orientation="portrait" r:id="rId3"/>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557B-738C-43D4-A3A2-81D090546EFC}">
  <dimension ref="A1:IB67"/>
  <sheetViews>
    <sheetView showGridLines="0"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48" t="s">
        <v>50</v>
      </c>
      <c r="B1" s="448"/>
      <c r="C1" s="448"/>
      <c r="D1" s="448"/>
      <c r="E1" s="448"/>
      <c r="F1" s="448"/>
      <c r="G1" s="448"/>
      <c r="H1" s="448"/>
      <c r="I1" s="448"/>
      <c r="J1" s="448"/>
      <c r="K1" s="448"/>
      <c r="L1" s="448"/>
      <c r="M1" s="448"/>
      <c r="N1" s="448"/>
      <c r="O1" s="448"/>
      <c r="P1" s="448"/>
      <c r="Q1" s="156"/>
    </row>
    <row r="2" spans="1:30" ht="20.25" x14ac:dyDescent="0.3">
      <c r="A2" s="449" t="s">
        <v>119</v>
      </c>
      <c r="B2" s="449"/>
      <c r="C2" s="449"/>
      <c r="D2" s="449"/>
      <c r="E2" s="449"/>
      <c r="F2" s="449"/>
      <c r="G2" s="449"/>
      <c r="H2" s="449"/>
      <c r="I2" s="449"/>
      <c r="J2" s="449"/>
      <c r="K2" s="449"/>
      <c r="L2" s="449"/>
      <c r="M2" s="449"/>
      <c r="N2" s="449"/>
      <c r="O2" s="449"/>
      <c r="P2" s="449"/>
      <c r="Q2" s="52"/>
    </row>
    <row r="3" spans="1:30" ht="18" x14ac:dyDescent="0.25">
      <c r="A3" s="434" t="s">
        <v>11</v>
      </c>
      <c r="B3" s="434"/>
      <c r="C3" s="434"/>
      <c r="D3" s="434"/>
      <c r="E3" s="434"/>
      <c r="F3" s="434"/>
      <c r="G3" s="434"/>
      <c r="H3" s="434"/>
      <c r="I3" s="434"/>
      <c r="J3" s="434"/>
      <c r="K3" s="434"/>
      <c r="L3" s="434"/>
      <c r="M3" s="434"/>
      <c r="N3" s="434"/>
      <c r="O3" s="434"/>
      <c r="P3" s="434"/>
      <c r="Q3" s="53"/>
    </row>
    <row r="4" spans="1:30" ht="15.75" x14ac:dyDescent="0.25">
      <c r="A4" s="434"/>
      <c r="B4" s="434"/>
      <c r="C4" s="434"/>
      <c r="D4" s="434"/>
      <c r="E4" s="434"/>
      <c r="F4" s="434"/>
      <c r="G4" s="434"/>
      <c r="H4" s="434"/>
      <c r="I4" s="434"/>
      <c r="J4" s="434"/>
      <c r="K4" s="434"/>
      <c r="L4" s="434"/>
      <c r="M4" s="434"/>
      <c r="N4" s="434"/>
      <c r="O4" s="434"/>
      <c r="P4" s="434"/>
      <c r="Q4" s="54"/>
    </row>
    <row r="5" spans="1:30" x14ac:dyDescent="0.2">
      <c r="A5" s="56">
        <f ca="1">TODAY()</f>
        <v>46051</v>
      </c>
      <c r="B5" s="435" t="s">
        <v>120</v>
      </c>
      <c r="C5" s="435"/>
      <c r="D5" s="435"/>
      <c r="E5" s="435"/>
      <c r="F5" s="435"/>
      <c r="G5" s="435"/>
      <c r="H5" s="435"/>
      <c r="I5" s="435"/>
      <c r="J5" s="435"/>
      <c r="K5" s="435"/>
      <c r="L5" s="435"/>
      <c r="M5" s="435"/>
      <c r="N5" s="435"/>
      <c r="O5" s="435"/>
    </row>
    <row r="6" spans="1:30" x14ac:dyDescent="0.2">
      <c r="A6" s="436" t="s">
        <v>2</v>
      </c>
      <c r="B6" s="436"/>
      <c r="C6" s="436"/>
      <c r="D6" s="436"/>
      <c r="E6" s="436"/>
      <c r="F6" s="436"/>
      <c r="G6" s="436"/>
      <c r="H6" s="436"/>
      <c r="I6" s="436"/>
      <c r="J6" s="436"/>
      <c r="K6" s="436"/>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2</v>
      </c>
      <c r="C10" s="63" t="str">
        <f>LOOKUP(B10,S11:AD11,S12:AD12)</f>
        <v>February</v>
      </c>
      <c r="D10" s="64">
        <f>'Customer Info'!C9</f>
        <v>2026</v>
      </c>
    </row>
    <row r="11" spans="1:30" x14ac:dyDescent="0.2">
      <c r="A11" s="443"/>
      <c r="B11" s="443"/>
      <c r="C11" s="443"/>
      <c r="D11" s="443"/>
      <c r="E11" s="443"/>
      <c r="F11" s="443"/>
      <c r="G11" s="443"/>
      <c r="H11" s="443"/>
      <c r="I11" s="443"/>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74" t="s">
        <v>69</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c r="B15" s="158"/>
      <c r="C15" s="160"/>
      <c r="D15" s="160"/>
      <c r="E15" s="160"/>
      <c r="F15" s="160"/>
      <c r="G15" s="57"/>
      <c r="H15" s="158"/>
      <c r="I15" s="158"/>
      <c r="R15" t="s">
        <v>124</v>
      </c>
      <c r="S15" s="161">
        <f>'Rider Rates'!$C$29</f>
        <v>3.18762E-2</v>
      </c>
      <c r="T15" s="161">
        <f>'Rider Rates'!$C$29</f>
        <v>3.18762E-2</v>
      </c>
      <c r="U15" s="161">
        <f>'Rider Rates'!$C$29</f>
        <v>3.18762E-2</v>
      </c>
      <c r="V15" s="161">
        <f>'Rider Rates'!$C$29</f>
        <v>3.18762E-2</v>
      </c>
      <c r="W15" s="161">
        <f>'Rider Rates'!$C$29</f>
        <v>3.18762E-2</v>
      </c>
      <c r="X15" s="161">
        <f>'Rider Rates'!$B$29</f>
        <v>3.18762E-2</v>
      </c>
      <c r="Y15" s="161">
        <f>'Rider Rates'!$B$29</f>
        <v>3.18762E-2</v>
      </c>
      <c r="Z15" s="161">
        <f>'Rider Rates'!$B$29</f>
        <v>3.18762E-2</v>
      </c>
      <c r="AA15" s="161">
        <f>'Rider Rates'!$B$29</f>
        <v>3.18762E-2</v>
      </c>
      <c r="AB15" s="161">
        <f>'Rider Rates'!$C$29</f>
        <v>3.18762E-2</v>
      </c>
      <c r="AC15" s="161">
        <f>'Rider Rates'!$C$29</f>
        <v>3.18762E-2</v>
      </c>
      <c r="AD15" s="161">
        <f>'Rider Rates'!$C$29</f>
        <v>3.18762E-2</v>
      </c>
    </row>
    <row r="16" spans="1:30" x14ac:dyDescent="0.2">
      <c r="A16" s="162" t="s">
        <v>125</v>
      </c>
      <c r="B16" s="163"/>
      <c r="C16" s="163"/>
      <c r="D16" s="163"/>
      <c r="E16" s="163"/>
      <c r="F16" s="163"/>
      <c r="G16" s="444" t="s">
        <v>71</v>
      </c>
      <c r="H16" s="445"/>
      <c r="I16" s="445"/>
      <c r="J16" s="446"/>
      <c r="K16" s="163"/>
      <c r="L16" s="447" t="s">
        <v>72</v>
      </c>
      <c r="M16" s="447"/>
      <c r="N16" s="447"/>
      <c r="O16" s="447"/>
      <c r="R16" t="s">
        <v>126</v>
      </c>
      <c r="S16" s="161">
        <f>'Rider Rates'!$C$30</f>
        <v>1.72503E-2</v>
      </c>
      <c r="T16" s="161">
        <f>'Rider Rates'!$C$30</f>
        <v>1.72503E-2</v>
      </c>
      <c r="U16" s="161">
        <f>'Rider Rates'!$C$30</f>
        <v>1.72503E-2</v>
      </c>
      <c r="V16" s="161">
        <f>'Rider Rates'!$C$30</f>
        <v>1.72503E-2</v>
      </c>
      <c r="W16" s="161">
        <f>'Rider Rates'!$C$30</f>
        <v>1.72503E-2</v>
      </c>
      <c r="X16" s="161">
        <f>'Rider Rates'!$B$30</f>
        <v>3.0280600000000001E-2</v>
      </c>
      <c r="Y16" s="161">
        <f>'Rider Rates'!$B$30</f>
        <v>3.0280600000000001E-2</v>
      </c>
      <c r="Z16" s="161">
        <f>'Rider Rates'!$B$30</f>
        <v>3.0280600000000001E-2</v>
      </c>
      <c r="AA16" s="161">
        <f>'Rider Rates'!$B$30</f>
        <v>3.0280600000000001E-2</v>
      </c>
      <c r="AB16" s="161">
        <f>'Rider Rates'!$C$30</f>
        <v>1.72503E-2</v>
      </c>
      <c r="AC16" s="161">
        <f>'Rider Rates'!$C$30</f>
        <v>1.72503E-2</v>
      </c>
      <c r="AD16" s="161">
        <f>'Rider Rates'!$C$30</f>
        <v>1.72503E-2</v>
      </c>
    </row>
    <row r="17" spans="1:221" x14ac:dyDescent="0.2">
      <c r="G17" s="164" t="s">
        <v>73</v>
      </c>
      <c r="H17" s="164" t="s">
        <v>74</v>
      </c>
      <c r="I17" s="164" t="s">
        <v>75</v>
      </c>
      <c r="J17" s="118" t="s">
        <v>76</v>
      </c>
      <c r="L17" s="165" t="s">
        <v>73</v>
      </c>
      <c r="M17" s="165" t="s">
        <v>74</v>
      </c>
      <c r="N17" s="165" t="s">
        <v>75</v>
      </c>
      <c r="O17" s="165" t="s">
        <v>76</v>
      </c>
      <c r="P17" s="166" t="s">
        <v>77</v>
      </c>
      <c r="R17" t="s">
        <v>127</v>
      </c>
      <c r="S17" s="161">
        <f>'Rider Rates'!$C$31</f>
        <v>2.0174299999999999E-2</v>
      </c>
      <c r="T17" s="161">
        <f>'Rider Rates'!$C$31</f>
        <v>2.0174299999999999E-2</v>
      </c>
      <c r="U17" s="161">
        <f>'Rider Rates'!$C$31</f>
        <v>2.0174299999999999E-2</v>
      </c>
      <c r="V17" s="161">
        <f>'Rider Rates'!$C$31</f>
        <v>2.0174299999999999E-2</v>
      </c>
      <c r="W17" s="161">
        <f>'Rider Rates'!$C$31</f>
        <v>2.0174299999999999E-2</v>
      </c>
      <c r="X17" s="161">
        <f>'Rider Rates'!$B$31</f>
        <v>2.8333000000000001E-2</v>
      </c>
      <c r="Y17" s="161">
        <f>'Rider Rates'!$B$31</f>
        <v>2.8333000000000001E-2</v>
      </c>
      <c r="Z17" s="161">
        <f>'Rider Rates'!$B$31</f>
        <v>2.8333000000000001E-2</v>
      </c>
      <c r="AA17" s="161">
        <f>'Rider Rates'!$B$31</f>
        <v>2.8333000000000001E-2</v>
      </c>
      <c r="AB17" s="161">
        <f>'Rider Rates'!$C$31</f>
        <v>2.0174299999999999E-2</v>
      </c>
      <c r="AC17" s="161">
        <f>'Rider Rates'!$C$31</f>
        <v>2.0174299999999999E-2</v>
      </c>
      <c r="AD17" s="161">
        <f>'Rider Rates'!$C$31</f>
        <v>2.0174299999999999E-2</v>
      </c>
    </row>
    <row r="18" spans="1:221" x14ac:dyDescent="0.2">
      <c r="A18" t="s">
        <v>78</v>
      </c>
      <c r="G18" s="167"/>
      <c r="H18" s="167"/>
      <c r="I18" s="168">
        <v>10</v>
      </c>
      <c r="J18" s="168">
        <f>SUM(G18:I18)</f>
        <v>10</v>
      </c>
      <c r="L18" s="168"/>
      <c r="M18" s="168"/>
      <c r="N18" s="168">
        <f>I18</f>
        <v>10</v>
      </c>
      <c r="O18" s="168">
        <f>+SUM(L18:N18)</f>
        <v>10</v>
      </c>
      <c r="P18" s="92">
        <v>44531</v>
      </c>
      <c r="R18" s="44" t="s">
        <v>128</v>
      </c>
      <c r="S18">
        <f>'Rider Rates'!$C$21</f>
        <v>7.6880000000000004E-2</v>
      </c>
      <c r="T18">
        <f>'Rider Rates'!$C$21</f>
        <v>7.6880000000000004E-2</v>
      </c>
      <c r="U18">
        <f>'Rider Rates'!$C$21</f>
        <v>7.6880000000000004E-2</v>
      </c>
      <c r="V18">
        <f>'Rider Rates'!$C$21</f>
        <v>7.6880000000000004E-2</v>
      </c>
      <c r="W18">
        <f>'Rider Rates'!$C$21</f>
        <v>7.6880000000000004E-2</v>
      </c>
      <c r="X18">
        <f>'Rider Rates'!$B$21</f>
        <v>7.6880000000000004E-2</v>
      </c>
      <c r="Y18">
        <f>'Rider Rates'!$B$21</f>
        <v>7.6880000000000004E-2</v>
      </c>
      <c r="Z18">
        <f>'Rider Rates'!$B$21</f>
        <v>7.6880000000000004E-2</v>
      </c>
      <c r="AA18">
        <f>'Rider Rates'!$B$21</f>
        <v>7.6880000000000004E-2</v>
      </c>
      <c r="AB18">
        <f>'Rider Rates'!$C$21</f>
        <v>7.6880000000000004E-2</v>
      </c>
      <c r="AC18">
        <f>'Rider Rates'!$C$21</f>
        <v>7.6880000000000004E-2</v>
      </c>
      <c r="AD18">
        <f>'Rider Rates'!$C$21</f>
        <v>7.6880000000000004E-2</v>
      </c>
    </row>
    <row r="19" spans="1:221" x14ac:dyDescent="0.2">
      <c r="A19" s="72" t="s">
        <v>79</v>
      </c>
      <c r="D19" s="4">
        <f>MAX($C$14,0)</f>
        <v>0</v>
      </c>
      <c r="E19" s="152" t="s">
        <v>19</v>
      </c>
      <c r="F19" s="1" t="s">
        <v>80</v>
      </c>
      <c r="G19" s="99"/>
      <c r="H19" s="167"/>
      <c r="I19" s="99">
        <v>2.6312499999999999E-2</v>
      </c>
      <c r="J19" s="169">
        <f>SUM(G19:I19)</f>
        <v>2.6312499999999999E-2</v>
      </c>
      <c r="K19" t="s">
        <v>85</v>
      </c>
      <c r="L19" s="168"/>
      <c r="M19" s="168"/>
      <c r="N19" s="168">
        <f>IF($C$14&lt;0,0,ROUND($D19*I19,2))</f>
        <v>0</v>
      </c>
      <c r="O19" s="168">
        <f>+SUM(L19:N19)</f>
        <v>0</v>
      </c>
      <c r="P19" s="92">
        <v>44531</v>
      </c>
      <c r="R19" s="44"/>
    </row>
    <row r="20" spans="1:221" x14ac:dyDescent="0.2">
      <c r="A20" s="153" t="s">
        <v>129</v>
      </c>
      <c r="B20" s="144"/>
      <c r="C20" s="144"/>
      <c r="D20" s="170"/>
      <c r="E20" s="170"/>
      <c r="F20" s="144"/>
      <c r="G20" s="144"/>
      <c r="I20" s="171"/>
      <c r="K20" s="172"/>
      <c r="L20" s="173"/>
      <c r="M20" s="174"/>
      <c r="N20" s="173">
        <f>SUM(N18:N19)</f>
        <v>10</v>
      </c>
      <c r="O20" s="173">
        <f>SUM(O18:O19)</f>
        <v>10</v>
      </c>
      <c r="R20" s="101"/>
      <c r="S20" s="94"/>
      <c r="T20" s="95"/>
      <c r="U20" s="72"/>
      <c r="V20" s="96"/>
      <c r="W20" s="72"/>
      <c r="X20" s="72"/>
      <c r="Y20" s="72"/>
      <c r="Z20" s="72"/>
      <c r="AA20" s="72"/>
      <c r="AB20" s="72"/>
      <c r="AC20" s="72"/>
      <c r="AD20" s="72"/>
    </row>
    <row r="21" spans="1:221" x14ac:dyDescent="0.2">
      <c r="A21" s="106"/>
      <c r="B21" s="106"/>
      <c r="C21" s="106"/>
      <c r="D21" s="107"/>
      <c r="E21" s="107"/>
      <c r="F21" s="106"/>
      <c r="G21" s="107"/>
      <c r="H21" s="107"/>
      <c r="I21" s="107"/>
      <c r="J21" s="107"/>
      <c r="K21" s="108"/>
      <c r="L21" s="107"/>
      <c r="M21" s="107"/>
      <c r="N21" s="107"/>
      <c r="O21" s="107"/>
      <c r="P21" s="107"/>
      <c r="R21" s="101"/>
      <c r="S21" s="94"/>
      <c r="T21" s="95"/>
      <c r="U21" s="72"/>
      <c r="V21" s="96"/>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69" t="s">
        <v>83</v>
      </c>
      <c r="B22" s="102"/>
      <c r="C22" s="102"/>
      <c r="D22" s="103"/>
      <c r="E22" s="103"/>
      <c r="F22" s="102"/>
      <c r="G22" s="103"/>
      <c r="H22" s="103"/>
      <c r="I22" s="103"/>
      <c r="J22" s="103"/>
      <c r="K22" s="103"/>
      <c r="L22" s="103"/>
      <c r="M22" s="103"/>
      <c r="N22" s="103"/>
      <c r="O22" s="103"/>
      <c r="P22" s="103"/>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row>
    <row r="23" spans="1:221" x14ac:dyDescent="0.2">
      <c r="A23" s="72"/>
      <c r="B23" s="72"/>
      <c r="C23" s="72"/>
      <c r="D23" s="72"/>
      <c r="E23" s="72"/>
      <c r="F23" s="72"/>
      <c r="G23" s="72"/>
      <c r="H23" s="72"/>
      <c r="I23" s="72"/>
      <c r="J23" s="72"/>
      <c r="K23" s="72"/>
      <c r="L23" s="72"/>
      <c r="M23" s="72"/>
      <c r="N23" s="72"/>
      <c r="O23" s="72"/>
      <c r="P23" s="84"/>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6" t="s">
        <v>84</v>
      </c>
      <c r="B24" s="110"/>
      <c r="C24" s="110"/>
      <c r="D24" s="111">
        <f>IF($C$14&lt;0,0,IF($C$14&gt;833000,833000,$C$14))</f>
        <v>0</v>
      </c>
      <c r="E24" s="97" t="s">
        <v>19</v>
      </c>
      <c r="F24" s="84" t="s">
        <v>80</v>
      </c>
      <c r="G24" s="100"/>
      <c r="H24" s="100"/>
      <c r="I24" s="100">
        <f>'Rider Rates'!$B$4</f>
        <v>5.5215000000000004E-3</v>
      </c>
      <c r="J24" s="175">
        <f t="shared" ref="J24:J45" si="0">SUM(G24:I24)</f>
        <v>5.5215000000000004E-3</v>
      </c>
      <c r="K24" s="94" t="s">
        <v>85</v>
      </c>
      <c r="L24" s="89"/>
      <c r="M24" s="89"/>
      <c r="N24" s="89">
        <f t="shared" ref="N24:N29" si="1">ROUND(D24*I24,2)</f>
        <v>0</v>
      </c>
      <c r="O24" s="89">
        <f t="shared" ref="O24:O37" si="2">SUM(L24:N24)</f>
        <v>0</v>
      </c>
      <c r="P24" s="92">
        <f>'Rider Rates'!$D$4</f>
        <v>46022</v>
      </c>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86</v>
      </c>
      <c r="B25" s="72"/>
      <c r="C25" s="72"/>
      <c r="D25" s="4">
        <f>IF($C$14&gt;833000,$C$14-833000,0)</f>
        <v>0</v>
      </c>
      <c r="E25" s="97" t="s">
        <v>19</v>
      </c>
      <c r="F25" s="84" t="s">
        <v>80</v>
      </c>
      <c r="G25" s="100"/>
      <c r="H25" s="100"/>
      <c r="I25" s="100">
        <f>'Rider Rates'!$B$5</f>
        <v>1.7560000000000001E-4</v>
      </c>
      <c r="J25" s="175">
        <f t="shared" si="0"/>
        <v>1.7560000000000001E-4</v>
      </c>
      <c r="K25" s="94" t="s">
        <v>85</v>
      </c>
      <c r="L25" s="89"/>
      <c r="M25" s="89"/>
      <c r="N25" s="89">
        <f t="shared" si="1"/>
        <v>0</v>
      </c>
      <c r="O25" s="89">
        <f t="shared" si="2"/>
        <v>0</v>
      </c>
      <c r="P25" s="92">
        <f>'Rider Rates'!$D$4</f>
        <v>46022</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87</v>
      </c>
      <c r="B26" s="72"/>
      <c r="C26" s="72"/>
      <c r="D26" s="111">
        <f>IF($C$14&lt;0,0,IF($C$14&gt;2000,2000,$C$14))</f>
        <v>0</v>
      </c>
      <c r="E26" s="97" t="s">
        <v>19</v>
      </c>
      <c r="F26" s="84" t="s">
        <v>80</v>
      </c>
      <c r="G26" s="100"/>
      <c r="H26" s="100"/>
      <c r="I26" s="112">
        <f>'Rider Rates'!$B$8</f>
        <v>4.6499999999999996E-3</v>
      </c>
      <c r="J26" s="112">
        <f t="shared" si="0"/>
        <v>4.6499999999999996E-3</v>
      </c>
      <c r="K26" s="94" t="s">
        <v>85</v>
      </c>
      <c r="L26" s="89"/>
      <c r="M26" s="89"/>
      <c r="N26" s="89">
        <f t="shared" si="1"/>
        <v>0</v>
      </c>
      <c r="O26" s="89">
        <f t="shared" si="2"/>
        <v>0</v>
      </c>
      <c r="P26" s="92">
        <f>'Rider Rates'!$D$7</f>
        <v>44531</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88</v>
      </c>
      <c r="B27" s="72"/>
      <c r="C27" s="72"/>
      <c r="D27" s="111">
        <f>IF($C$14&lt;=2000,0,IF($C$14=0,0,IF($C$14-2000&gt;13000,13000,$C$14-2000)))</f>
        <v>0</v>
      </c>
      <c r="E27" s="97" t="s">
        <v>19</v>
      </c>
      <c r="F27" s="84" t="s">
        <v>80</v>
      </c>
      <c r="G27" s="100"/>
      <c r="H27" s="100"/>
      <c r="I27" s="112">
        <f>'Rider Rates'!$B$9</f>
        <v>4.1900000000000001E-3</v>
      </c>
      <c r="J27" s="112">
        <f t="shared" si="0"/>
        <v>4.1900000000000001E-3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89</v>
      </c>
      <c r="B28" s="72"/>
      <c r="C28" s="72"/>
      <c r="D28" s="111">
        <f>IF($C$14=0,0,IF($C$14-15000&gt;=0,$C$14-15000,0))</f>
        <v>0</v>
      </c>
      <c r="E28" s="97" t="s">
        <v>19</v>
      </c>
      <c r="F28" s="84" t="s">
        <v>80</v>
      </c>
      <c r="G28" s="100"/>
      <c r="H28" s="100"/>
      <c r="I28" s="112">
        <f>'Rider Rates'!$B$10</f>
        <v>3.63E-3</v>
      </c>
      <c r="J28" s="112">
        <f t="shared" si="0"/>
        <v>3.63E-3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90</v>
      </c>
      <c r="B29" s="72"/>
      <c r="C29" s="72"/>
      <c r="D29" s="111">
        <f>IF($C$14&lt;0,0,$C$14)</f>
        <v>0</v>
      </c>
      <c r="E29" s="97" t="s">
        <v>19</v>
      </c>
      <c r="F29" s="84" t="s">
        <v>80</v>
      </c>
      <c r="G29" s="100"/>
      <c r="H29" s="100"/>
      <c r="I29" s="100">
        <f>'Rider Rates'!B15</f>
        <v>0</v>
      </c>
      <c r="J29" s="100">
        <f>SUM(G29:I29)</f>
        <v>0</v>
      </c>
      <c r="K29" s="94" t="s">
        <v>85</v>
      </c>
      <c r="L29" s="89"/>
      <c r="M29" s="89"/>
      <c r="N29" s="89">
        <f t="shared" si="1"/>
        <v>0</v>
      </c>
      <c r="O29" s="89">
        <f t="shared" si="2"/>
        <v>0</v>
      </c>
      <c r="P29" s="92">
        <f>'Rider Rates'!$D$15</f>
        <v>45716</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t="s">
        <v>91</v>
      </c>
      <c r="B30" s="72"/>
      <c r="C30" s="72"/>
      <c r="D30" s="176">
        <f>$N$20</f>
        <v>10</v>
      </c>
      <c r="E30" s="97" t="s">
        <v>92</v>
      </c>
      <c r="F30" s="84" t="s">
        <v>80</v>
      </c>
      <c r="G30" s="100"/>
      <c r="H30" s="100"/>
      <c r="I30" s="114">
        <f>'Rider Rates'!$B$18</f>
        <v>0</v>
      </c>
      <c r="J30" s="114">
        <f>SUM(G30:I30)</f>
        <v>0</v>
      </c>
      <c r="K30" s="94"/>
      <c r="L30" s="89"/>
      <c r="M30" s="89"/>
      <c r="N30" s="89">
        <f>ROUND($D$30*'Rider Rates'!$B$18,2)+ROUND($D$30*'Rider Rates'!$E$18,2)</f>
        <v>0</v>
      </c>
      <c r="O30" s="89">
        <f t="shared" si="2"/>
        <v>0</v>
      </c>
      <c r="P30" s="92">
        <f>MAX('Rider Rates'!$D$18,'Rider Rates'!$F$18)</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130</v>
      </c>
      <c r="B31" s="72"/>
      <c r="C31" s="72"/>
      <c r="D31" s="111">
        <f>'Customer Info'!$B$22+'Customer Info'!$B$23-'Customer Info'!$B$24</f>
        <v>0</v>
      </c>
      <c r="E31" s="97" t="s">
        <v>19</v>
      </c>
      <c r="F31" s="84" t="s">
        <v>80</v>
      </c>
      <c r="G31" s="100">
        <f>LOOKUP($B$10,$S$11:$AD$11,S18:AD18)</f>
        <v>7.6880000000000004E-2</v>
      </c>
      <c r="H31" s="100"/>
      <c r="I31" s="100"/>
      <c r="J31" s="115">
        <f>SUM(G31:H31)</f>
        <v>7.6880000000000004E-2</v>
      </c>
      <c r="K31" s="94" t="s">
        <v>85</v>
      </c>
      <c r="L31" s="89">
        <f>ROUND(D31*G31,2)</f>
        <v>0</v>
      </c>
      <c r="M31" s="89"/>
      <c r="N31" s="89"/>
      <c r="O31" s="89">
        <f t="shared" si="2"/>
        <v>0</v>
      </c>
      <c r="P31" s="92">
        <f>'Rider Rates'!$D$29</f>
        <v>45809</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131</v>
      </c>
      <c r="B32" s="72"/>
      <c r="C32" s="72"/>
      <c r="D32" s="111">
        <f>MIN(('Customer Info'!$B$22+'Customer Info'!$B$23-'Customer Info'!$B$24),750)</f>
        <v>0</v>
      </c>
      <c r="E32" s="97" t="s">
        <v>19</v>
      </c>
      <c r="F32" s="84" t="s">
        <v>80</v>
      </c>
      <c r="G32" s="99">
        <f>LOOKUP($B$10,$S$11:$AD11,S15:AD15)</f>
        <v>3.18762E-2</v>
      </c>
      <c r="H32" s="100"/>
      <c r="I32" s="100"/>
      <c r="J32" s="115">
        <f>SUM(G32:H32)</f>
        <v>3.18762E-2</v>
      </c>
      <c r="K32" s="94" t="s">
        <v>85</v>
      </c>
      <c r="L32" s="89">
        <f>ROUND(D32*G32,2)</f>
        <v>0</v>
      </c>
      <c r="M32" s="89"/>
      <c r="N32" s="89"/>
      <c r="O32" s="89">
        <f t="shared" si="2"/>
        <v>0</v>
      </c>
      <c r="P32" s="92">
        <f>'Rider Rates'!$D$29</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132</v>
      </c>
      <c r="B33" s="72"/>
      <c r="C33" s="72"/>
      <c r="D33" s="111">
        <f>IF(('Customer Info'!$B$22+'Customer Info'!$B$23-'Customer Info'!$B$24)&lt;=750,0,IF(C14-750&gt;150,150,C14-750))</f>
        <v>0</v>
      </c>
      <c r="E33" s="97" t="s">
        <v>19</v>
      </c>
      <c r="F33" s="84" t="s">
        <v>80</v>
      </c>
      <c r="G33" s="99">
        <f>LOOKUP($B$10,$S$11:$AD11,S16:AD16)</f>
        <v>1.72503E-2</v>
      </c>
      <c r="H33" s="100"/>
      <c r="I33" s="100"/>
      <c r="J33" s="115">
        <f>SUM(G33:H33)</f>
        <v>1.72503E-2</v>
      </c>
      <c r="K33" s="94" t="s">
        <v>85</v>
      </c>
      <c r="L33" s="89">
        <f>ROUND(D33*G33,2)</f>
        <v>0</v>
      </c>
      <c r="M33" s="89"/>
      <c r="N33" s="89"/>
      <c r="O33" s="89">
        <f t="shared" si="2"/>
        <v>0</v>
      </c>
      <c r="P33" s="92">
        <f>'Rider Rates'!$D$30</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2" t="s">
        <v>133</v>
      </c>
      <c r="B34" s="72"/>
      <c r="C34" s="72"/>
      <c r="D34" s="111">
        <f>IF(C14=0,0,IF(C14-900&gt;=0,C14-900,0))</f>
        <v>0</v>
      </c>
      <c r="E34" s="97" t="s">
        <v>19</v>
      </c>
      <c r="F34" s="84" t="s">
        <v>80</v>
      </c>
      <c r="G34" s="99">
        <f>LOOKUP($B$10,$S$11:$AD11,S17:AD17)</f>
        <v>2.0174299999999999E-2</v>
      </c>
      <c r="H34" s="100"/>
      <c r="I34" s="100"/>
      <c r="J34" s="115">
        <f>SUM(G34:H34)</f>
        <v>2.0174299999999999E-2</v>
      </c>
      <c r="K34" s="94" t="s">
        <v>85</v>
      </c>
      <c r="L34" s="89">
        <f>ROUND(D34*G34,2)</f>
        <v>0</v>
      </c>
      <c r="M34" s="89"/>
      <c r="N34" s="89"/>
      <c r="O34" s="89">
        <f t="shared" si="2"/>
        <v>0</v>
      </c>
      <c r="P34" s="92">
        <f>'Rider Rates'!$D$31</f>
        <v>45809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95</v>
      </c>
      <c r="B35" s="72"/>
      <c r="C35" s="72"/>
      <c r="D35" s="111">
        <f>'Customer Info'!$B$22+'Customer Info'!$B$23-'Customer Info'!$B$24</f>
        <v>0</v>
      </c>
      <c r="E35" s="97" t="s">
        <v>19</v>
      </c>
      <c r="F35" s="84" t="s">
        <v>80</v>
      </c>
      <c r="G35" s="100">
        <f>'Rider Rates'!B49</f>
        <v>2.7588999999999999E-3</v>
      </c>
      <c r="H35" s="100"/>
      <c r="I35" s="100"/>
      <c r="J35" s="115">
        <f>SUM(G35:H35)</f>
        <v>2.7588999999999999E-3</v>
      </c>
      <c r="K35" s="94" t="s">
        <v>85</v>
      </c>
      <c r="L35" s="89">
        <f>ROUND(D35*G35,2)</f>
        <v>0</v>
      </c>
      <c r="M35" s="89"/>
      <c r="N35" s="89"/>
      <c r="O35" s="89">
        <f>SUM(L35:N35)</f>
        <v>0</v>
      </c>
      <c r="P35" s="92">
        <f>'Rider Rates'!$D$49</f>
        <v>46022</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2" t="s">
        <v>96</v>
      </c>
      <c r="B36" s="72"/>
      <c r="C36" s="72"/>
      <c r="D36" s="111"/>
      <c r="E36" s="97" t="s">
        <v>55</v>
      </c>
      <c r="F36" s="84"/>
      <c r="G36" s="100"/>
      <c r="H36" s="100"/>
      <c r="I36" s="100">
        <f>'Rider Rates'!D52</f>
        <v>0</v>
      </c>
      <c r="J36" s="100">
        <f>SUM(G36:I36)</f>
        <v>0</v>
      </c>
      <c r="K36" s="94" t="s">
        <v>85</v>
      </c>
      <c r="L36" s="89"/>
      <c r="M36" s="89"/>
      <c r="N36" s="89">
        <f>J36</f>
        <v>0</v>
      </c>
      <c r="O36" s="89">
        <f>SUM(L36:N36)</f>
        <v>0</v>
      </c>
      <c r="P36" s="92">
        <f>'Rider Rates'!E52</f>
        <v>45883</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97</v>
      </c>
      <c r="B37" s="72"/>
      <c r="C37" s="72"/>
      <c r="D37" s="111">
        <f>IF($C$14&lt;0,0,$C$14)</f>
        <v>0</v>
      </c>
      <c r="E37" s="97" t="s">
        <v>19</v>
      </c>
      <c r="F37" s="84" t="s">
        <v>80</v>
      </c>
      <c r="G37" s="100"/>
      <c r="H37" s="100">
        <f>'Rider Rates'!$B$57</f>
        <v>3.55042E-2</v>
      </c>
      <c r="I37" s="100"/>
      <c r="J37" s="100">
        <f>SUM(G37:I37)</f>
        <v>3.55042E-2</v>
      </c>
      <c r="K37" s="94" t="s">
        <v>85</v>
      </c>
      <c r="L37" s="89"/>
      <c r="M37" s="89">
        <f>ROUND(D37*H37,2)</f>
        <v>0</v>
      </c>
      <c r="N37" s="116"/>
      <c r="O37" s="89">
        <f t="shared" si="2"/>
        <v>0</v>
      </c>
      <c r="P37" s="92">
        <f>'Rider Rates'!$D$57</f>
        <v>45929</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98</v>
      </c>
      <c r="B38" s="72"/>
      <c r="C38" s="72"/>
      <c r="D38" s="111">
        <f>IF($C$14&lt;0,0,$C$14)</f>
        <v>0</v>
      </c>
      <c r="E38" s="97" t="s">
        <v>19</v>
      </c>
      <c r="F38" s="84" t="s">
        <v>80</v>
      </c>
      <c r="G38" s="100"/>
      <c r="H38" s="100"/>
      <c r="I38" s="100">
        <f>'Rider Rates'!$B$68</f>
        <v>7.3870000000000001E-4</v>
      </c>
      <c r="J38" s="100">
        <f t="shared" ref="J38" si="3">SUM(G38:I38)</f>
        <v>7.3870000000000001E-4</v>
      </c>
      <c r="K38" s="94" t="s">
        <v>85</v>
      </c>
      <c r="L38" s="89"/>
      <c r="M38" s="89"/>
      <c r="N38" s="89">
        <f>ROUND($D$38*'Rider Rates'!$B$68,2)</f>
        <v>0</v>
      </c>
      <c r="O38" s="89">
        <f>SUM(L38:N38)</f>
        <v>0</v>
      </c>
      <c r="P38" s="92">
        <f>'Rider Rates'!$D$68</f>
        <v>45747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Info'!C35=TRUE,0,IF($C$14&lt;0,0,$C$14))</f>
        <v>0</v>
      </c>
      <c r="E39" s="97" t="s">
        <v>19</v>
      </c>
      <c r="F39" s="84" t="s">
        <v>80</v>
      </c>
      <c r="G39" s="100"/>
      <c r="H39" s="100"/>
      <c r="I39" s="100">
        <f>'Rider Rates'!$B$71+'Rider Rates'!$C$71</f>
        <v>0</v>
      </c>
      <c r="J39" s="100">
        <f t="shared" si="0"/>
        <v>0</v>
      </c>
      <c r="K39" s="94" t="s">
        <v>85</v>
      </c>
      <c r="L39" s="89"/>
      <c r="M39" s="89"/>
      <c r="N39" s="89">
        <f>ROUND($D$39*'Rider Rates'!$B$71,2)+ROUND($D$39*'Rider Rates'!$C$71,2)</f>
        <v>0</v>
      </c>
      <c r="O39" s="89">
        <f>SUM(L39:N39)</f>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100</v>
      </c>
      <c r="B40" s="72"/>
      <c r="C40" s="72"/>
      <c r="D40" s="113">
        <f>$N$20</f>
        <v>10</v>
      </c>
      <c r="E40" s="97" t="s">
        <v>92</v>
      </c>
      <c r="F40" s="84" t="s">
        <v>80</v>
      </c>
      <c r="G40" s="117"/>
      <c r="H40" s="118"/>
      <c r="I40" s="119">
        <f>'Rider Rates'!$B$87</f>
        <v>3.5344300000000002E-2</v>
      </c>
      <c r="J40" s="119">
        <f t="shared" si="0"/>
        <v>3.5344300000000002E-2</v>
      </c>
      <c r="K40" s="94"/>
      <c r="L40" s="89"/>
      <c r="M40" s="89"/>
      <c r="N40" s="89">
        <f>ROUND(D40*I40,2)</f>
        <v>0.35</v>
      </c>
      <c r="O40" s="89">
        <f>SUM(L40:N40)</f>
        <v>0.35</v>
      </c>
      <c r="P40" s="92">
        <f>'Rider Rates'!$D$87</f>
        <v>45929</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101</v>
      </c>
      <c r="B41" s="72"/>
      <c r="C41" s="72"/>
      <c r="D41" s="113">
        <f>$N$20</f>
        <v>10</v>
      </c>
      <c r="E41" s="97" t="s">
        <v>92</v>
      </c>
      <c r="F41" s="84" t="s">
        <v>80</v>
      </c>
      <c r="G41" s="120"/>
      <c r="H41" s="85"/>
      <c r="I41" s="119">
        <f>'Rider Rates'!$B$89</f>
        <v>7.8822199999999995E-2</v>
      </c>
      <c r="J41" s="119">
        <f t="shared" si="0"/>
        <v>7.8822199999999995E-2</v>
      </c>
      <c r="K41" s="94"/>
      <c r="L41" s="89"/>
      <c r="M41" s="89"/>
      <c r="N41" s="89">
        <f>ROUND(D41*I41,2)</f>
        <v>0.79</v>
      </c>
      <c r="O41" s="89">
        <f>SUM(L41:N41)</f>
        <v>0.79</v>
      </c>
      <c r="P41" s="92">
        <f>'Rider Rates'!$D$89</f>
        <v>45987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102</v>
      </c>
      <c r="B42" s="72"/>
      <c r="C42" s="72"/>
      <c r="D42" s="113"/>
      <c r="E42" s="97" t="s">
        <v>55</v>
      </c>
      <c r="F42" s="84"/>
      <c r="G42" s="120"/>
      <c r="H42" s="85"/>
      <c r="I42" s="121">
        <f>'Rider Rates'!$B$92</f>
        <v>2.62</v>
      </c>
      <c r="J42" s="121">
        <f t="shared" si="0"/>
        <v>2.62</v>
      </c>
      <c r="K42" s="94"/>
      <c r="L42" s="89"/>
      <c r="M42" s="89"/>
      <c r="N42" s="89">
        <f>I42</f>
        <v>2.62</v>
      </c>
      <c r="O42" s="89">
        <f>SUM(L42:N42)</f>
        <v>2.62</v>
      </c>
      <c r="P42" s="92">
        <f>'Rider Rates'!$D$92</f>
        <v>46022</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103</v>
      </c>
      <c r="B43" s="72"/>
      <c r="C43" s="72"/>
      <c r="D43" s="111">
        <f>IF($C$14&lt;0,0,$C$14)</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$N$20</f>
        <v>10</v>
      </c>
      <c r="E44" s="97" t="s">
        <v>92</v>
      </c>
      <c r="F44" s="84" t="s">
        <v>80</v>
      </c>
      <c r="G44" s="120"/>
      <c r="H44" s="85"/>
      <c r="I44" s="119">
        <f>'Rider Rates'!$B$107</f>
        <v>0.24079249999999999</v>
      </c>
      <c r="J44" s="119">
        <f t="shared" si="0"/>
        <v>0.24079249999999999</v>
      </c>
      <c r="K44" s="94"/>
      <c r="L44" s="89"/>
      <c r="M44" s="89"/>
      <c r="N44" s="89">
        <f>ROUND(D44*I44,2)</f>
        <v>2.41</v>
      </c>
      <c r="O44" s="89">
        <f t="shared" ref="O44:O48" si="4">SUM(L44:N44)</f>
        <v>2.41</v>
      </c>
      <c r="P44" s="92">
        <f>'Rider Rates'!$D$107</f>
        <v>45987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105</v>
      </c>
      <c r="B45" s="72"/>
      <c r="C45" s="72"/>
      <c r="D45" s="113"/>
      <c r="E45" s="97" t="s">
        <v>55</v>
      </c>
      <c r="F45" s="84"/>
      <c r="G45" s="120"/>
      <c r="H45" s="85"/>
      <c r="I45" s="123">
        <f>'Rider Rates'!B122</f>
        <v>0.2</v>
      </c>
      <c r="J45" s="121">
        <f t="shared" si="0"/>
        <v>0.2</v>
      </c>
      <c r="K45" s="94"/>
      <c r="L45" s="89"/>
      <c r="M45" s="89"/>
      <c r="N45" s="125">
        <f>I45</f>
        <v>0.2</v>
      </c>
      <c r="O45" s="89">
        <f t="shared" si="4"/>
        <v>0.2</v>
      </c>
      <c r="P45" s="92">
        <f>'Rider Rates'!D122</f>
        <v>45958</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Info'!$B$23-'Customer Info'!$B$24</f>
        <v>0</v>
      </c>
      <c r="E46" s="97" t="s">
        <v>19</v>
      </c>
      <c r="F46" s="84" t="s">
        <v>80</v>
      </c>
      <c r="G46" s="100">
        <f>'Rider Rates'!$B$113</f>
        <v>3.8972999999999998E-3</v>
      </c>
      <c r="H46" s="100"/>
      <c r="I46" s="119"/>
      <c r="J46" s="115">
        <f>SUM(G46:H46)</f>
        <v>3.8972999999999998E-3</v>
      </c>
      <c r="K46" s="94" t="s">
        <v>85</v>
      </c>
      <c r="L46" s="89">
        <f>ROUND(D46*G46,2)</f>
        <v>0</v>
      </c>
      <c r="M46" s="89"/>
      <c r="N46" s="89"/>
      <c r="O46" s="89">
        <f t="shared" si="4"/>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IF($C$14&lt;1,0,$C$14)</f>
        <v>0</v>
      </c>
      <c r="E47" s="97" t="s">
        <v>19</v>
      </c>
      <c r="F47" s="126" t="s">
        <v>80</v>
      </c>
      <c r="G47" s="100"/>
      <c r="H47" s="100"/>
      <c r="I47" s="115">
        <f>'Rider Rates'!$B$118</f>
        <v>0</v>
      </c>
      <c r="J47" s="115">
        <f>SUM(G47:I47)</f>
        <v>0</v>
      </c>
      <c r="K47" s="94" t="s">
        <v>85</v>
      </c>
      <c r="L47" s="89"/>
      <c r="M47" s="89"/>
      <c r="N47" s="89">
        <f>D47*J47</f>
        <v>0</v>
      </c>
      <c r="O47" s="89">
        <f t="shared" si="4"/>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108</v>
      </c>
      <c r="B48" s="72"/>
      <c r="C48" s="72"/>
      <c r="D48" s="111"/>
      <c r="E48" s="97" t="s">
        <v>55</v>
      </c>
      <c r="F48" s="84" t="s">
        <v>80</v>
      </c>
      <c r="G48" s="127"/>
      <c r="H48" s="127"/>
      <c r="I48" s="127">
        <f>'Rider Rates'!$B$126</f>
        <v>0</v>
      </c>
      <c r="J48" s="127">
        <f>SUM(G48:I48)</f>
        <v>0</v>
      </c>
      <c r="K48" s="94"/>
      <c r="L48" s="128"/>
      <c r="M48" s="128"/>
      <c r="N48" s="128">
        <f>J48</f>
        <v>0</v>
      </c>
      <c r="O48" s="128">
        <f t="shared" si="4"/>
        <v>0</v>
      </c>
      <c r="P48" s="129">
        <f>'Rider Rates'!$E$126</f>
        <v>45883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109</v>
      </c>
      <c r="B49" s="72"/>
      <c r="C49" s="72"/>
      <c r="D49" s="111">
        <f>C14</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130" t="s">
        <v>112</v>
      </c>
      <c r="B52" s="69"/>
      <c r="C52" s="69"/>
      <c r="D52" s="131"/>
      <c r="E52" s="132"/>
      <c r="F52" s="133"/>
      <c r="G52" s="133"/>
      <c r="H52" s="133"/>
      <c r="I52" s="133"/>
      <c r="J52" s="133"/>
      <c r="K52" s="134"/>
      <c r="L52" s="105">
        <f>SUM(L24:L51)</f>
        <v>0</v>
      </c>
      <c r="M52" s="105">
        <f>SUM(M24:M51)</f>
        <v>0</v>
      </c>
      <c r="N52" s="105">
        <f>SUM(N24:N51)</f>
        <v>6.37</v>
      </c>
      <c r="O52" s="105">
        <f>SUM(O24:O51)</f>
        <v>6.37</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c r="B53" s="72"/>
      <c r="C53" s="72"/>
      <c r="D53" s="111"/>
      <c r="E53" s="97"/>
      <c r="F53" s="84"/>
      <c r="G53" s="84"/>
      <c r="H53" s="84"/>
      <c r="I53" s="84"/>
      <c r="J53" s="101"/>
      <c r="K53" s="94"/>
      <c r="L53" s="84"/>
      <c r="M53" s="84"/>
      <c r="N53" s="84"/>
      <c r="O53" s="84"/>
      <c r="P53" s="137"/>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106"/>
      <c r="B54" s="106"/>
      <c r="C54" s="106"/>
      <c r="D54" s="106"/>
      <c r="E54" s="106"/>
      <c r="F54" s="106"/>
      <c r="G54" s="106"/>
      <c r="H54" s="106"/>
      <c r="I54" s="106"/>
      <c r="J54" s="106"/>
      <c r="K54" s="106"/>
      <c r="L54" s="139">
        <f>L20+L52</f>
        <v>0</v>
      </c>
      <c r="M54" s="139">
        <f>M20+M52</f>
        <v>0</v>
      </c>
      <c r="N54" s="139">
        <f>N20+N52</f>
        <v>16.37</v>
      </c>
      <c r="O54" s="140">
        <f>O20+O52</f>
        <v>16.37</v>
      </c>
      <c r="P54" s="140"/>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02" t="s">
        <v>114</v>
      </c>
      <c r="B56" s="72"/>
      <c r="C56" s="72"/>
      <c r="D56" s="72"/>
      <c r="E56" s="72"/>
      <c r="F56" s="72"/>
      <c r="G56" s="72"/>
      <c r="H56" s="72"/>
      <c r="I56" s="72"/>
      <c r="J56" s="72"/>
      <c r="K56" s="72"/>
      <c r="L56" s="72"/>
      <c r="M56" s="72"/>
      <c r="N56" s="72"/>
      <c r="O56" s="95">
        <f>IF($C$14&lt;=0,MIN(O18,O54), O18)</f>
        <v>10</v>
      </c>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102"/>
      <c r="C57" s="102"/>
      <c r="D57" s="102"/>
      <c r="E57" s="102"/>
      <c r="F57" s="102"/>
      <c r="G57" s="102"/>
      <c r="H57" s="10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69" t="s">
        <v>115</v>
      </c>
      <c r="B58" s="72"/>
      <c r="C58" s="72"/>
      <c r="D58" s="72"/>
      <c r="E58" s="72"/>
      <c r="F58" s="72"/>
      <c r="G58" s="72"/>
      <c r="H58" s="72"/>
      <c r="I58" s="72"/>
      <c r="J58" s="72"/>
      <c r="K58" s="72"/>
      <c r="L58" s="72"/>
      <c r="M58" s="72"/>
      <c r="N58" s="72"/>
      <c r="O58" s="141">
        <f>IF($C$14&lt;0,O54,IF(O54&gt;O56,O54,I53))</f>
        <v>16.37</v>
      </c>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142"/>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72"/>
      <c r="B60" s="102"/>
      <c r="C60" s="102"/>
      <c r="D60" s="102"/>
      <c r="E60" s="102"/>
      <c r="F60" s="102"/>
      <c r="G60" s="102"/>
      <c r="H60" s="102"/>
      <c r="I60" s="102" t="s">
        <v>116</v>
      </c>
      <c r="J60" s="102"/>
      <c r="K60" s="102"/>
      <c r="L60" s="143"/>
      <c r="M60" s="143"/>
      <c r="N60" s="143"/>
      <c r="O60" s="143">
        <f>ROUND(IF($C$14&lt;1,0,O54/($C$14*100)*10000),2)</f>
        <v>0</v>
      </c>
      <c r="P60" s="144" t="s">
        <v>117</v>
      </c>
      <c r="Q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c r="HN60" s="72"/>
      <c r="HO60" s="72"/>
      <c r="HP60" s="72"/>
      <c r="HQ60" s="72"/>
      <c r="HR60" s="72"/>
      <c r="HS60" s="72"/>
      <c r="HT60" s="72"/>
      <c r="HU60" s="72"/>
      <c r="HV60" s="72"/>
      <c r="HW60" s="72"/>
      <c r="HX60" s="72"/>
      <c r="HY60" s="72"/>
      <c r="HZ60" s="72"/>
      <c r="IA60" s="72"/>
      <c r="IB60" s="72"/>
    </row>
    <row r="61" spans="1:236" x14ac:dyDescent="0.2">
      <c r="A61" s="72"/>
      <c r="B61" s="72"/>
      <c r="C61" s="72"/>
      <c r="D61" s="72"/>
      <c r="E61" s="72"/>
      <c r="F61" s="72"/>
      <c r="G61" s="72"/>
      <c r="H61" s="145"/>
      <c r="I61" s="146" t="s">
        <v>118</v>
      </c>
      <c r="J61" s="72"/>
      <c r="K61" s="72"/>
      <c r="L61" s="72"/>
      <c r="M61" s="72"/>
      <c r="N61" s="72"/>
      <c r="O61" s="147">
        <f>ROUND(IF($C$14&lt;1,0,(L54)/($C$14*100)*10000),2)</f>
        <v>0</v>
      </c>
      <c r="P61" s="59" t="s">
        <v>117</v>
      </c>
      <c r="Q61" s="72"/>
      <c r="AE61" s="72"/>
      <c r="AF61" s="72"/>
      <c r="AG61" s="72"/>
      <c r="AH61" s="72"/>
      <c r="AI61" s="72"/>
      <c r="AJ61" s="72"/>
      <c r="AK61" s="72"/>
      <c r="AL61" s="72"/>
      <c r="AM61" s="72"/>
      <c r="AN61" s="72"/>
      <c r="AO61" s="72"/>
      <c r="AP61" s="72"/>
      <c r="AQ61" s="72"/>
      <c r="AR61" s="72"/>
      <c r="AS61" s="72"/>
      <c r="AT61" s="72"/>
      <c r="HE61" s="72"/>
      <c r="HF61" s="72"/>
      <c r="HG61" s="72"/>
      <c r="HH61" s="72"/>
      <c r="HI61" s="72"/>
      <c r="HJ61" s="72"/>
      <c r="HK61" s="72"/>
      <c r="HL61" s="72"/>
      <c r="HM61" s="72"/>
      <c r="HN61" s="72"/>
    </row>
    <row r="62" spans="1:236" x14ac:dyDescent="0.2">
      <c r="A62" s="72"/>
    </row>
    <row r="63" spans="1:236" x14ac:dyDescent="0.2">
      <c r="A63" s="72"/>
    </row>
    <row r="64" spans="1:236" x14ac:dyDescent="0.2">
      <c r="A64" s="72"/>
    </row>
    <row r="65" spans="1:1" x14ac:dyDescent="0.2">
      <c r="A65" s="72"/>
    </row>
    <row r="66" spans="1:1" x14ac:dyDescent="0.2">
      <c r="A66" s="72"/>
    </row>
    <row r="67" spans="1:1" x14ac:dyDescent="0.2">
      <c r="A67" s="72"/>
    </row>
  </sheetData>
  <sheetProtection algorithmName="SHA-512" hashValue="bZVG0JZ897TsOW2/7fyBwdx52D4e6TkL0/Ik8D+pJOjIEGeTC7QYy2LLOMjFaEKQlx9bmOB5kH8OG5Oxji/v6A==" saltValue="66mj5o+xtnPUrPN3h5SwcA==" spinCount="100000" sheet="1" objects="1" scenarios="1"/>
  <mergeCells count="9">
    <mergeCell ref="A11:I11"/>
    <mergeCell ref="G16:J16"/>
    <mergeCell ref="L16:O16"/>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07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0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06192-48A7-4ABB-8F49-50543A32EACB}">
  <dimension ref="A1:IB66"/>
  <sheetViews>
    <sheetView showGridLines="0"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48" t="s">
        <v>50</v>
      </c>
      <c r="B1" s="448"/>
      <c r="C1" s="448"/>
      <c r="D1" s="448"/>
      <c r="E1" s="448"/>
      <c r="F1" s="448"/>
      <c r="G1" s="448"/>
      <c r="H1" s="448"/>
      <c r="I1" s="448"/>
      <c r="J1" s="448"/>
      <c r="K1" s="448"/>
      <c r="L1" s="448"/>
      <c r="M1" s="448"/>
      <c r="N1" s="448"/>
      <c r="O1" s="448"/>
      <c r="P1" s="448"/>
      <c r="Q1" s="156"/>
    </row>
    <row r="2" spans="1:30" ht="20.25" x14ac:dyDescent="0.3">
      <c r="A2" s="449" t="s">
        <v>119</v>
      </c>
      <c r="B2" s="449"/>
      <c r="C2" s="449"/>
      <c r="D2" s="449"/>
      <c r="E2" s="449"/>
      <c r="F2" s="449"/>
      <c r="G2" s="449"/>
      <c r="H2" s="449"/>
      <c r="I2" s="449"/>
      <c r="J2" s="449"/>
      <c r="K2" s="449"/>
      <c r="L2" s="449"/>
      <c r="M2" s="449"/>
      <c r="N2" s="449"/>
      <c r="O2" s="449"/>
      <c r="P2" s="449"/>
      <c r="Q2" s="52"/>
    </row>
    <row r="3" spans="1:30" ht="18" x14ac:dyDescent="0.25">
      <c r="A3" s="434" t="s">
        <v>11</v>
      </c>
      <c r="B3" s="434"/>
      <c r="C3" s="434"/>
      <c r="D3" s="434"/>
      <c r="E3" s="434"/>
      <c r="F3" s="434"/>
      <c r="G3" s="434"/>
      <c r="H3" s="434"/>
      <c r="I3" s="434"/>
      <c r="J3" s="434"/>
      <c r="K3" s="434"/>
      <c r="L3" s="434"/>
      <c r="M3" s="434"/>
      <c r="N3" s="434"/>
      <c r="O3" s="434"/>
      <c r="P3" s="434"/>
      <c r="Q3" s="53"/>
    </row>
    <row r="4" spans="1:30" ht="15.75" x14ac:dyDescent="0.25">
      <c r="A4" s="434"/>
      <c r="B4" s="434"/>
      <c r="C4" s="434"/>
      <c r="D4" s="434"/>
      <c r="E4" s="434"/>
      <c r="F4" s="434"/>
      <c r="G4" s="434"/>
      <c r="H4" s="434"/>
      <c r="I4" s="434"/>
      <c r="J4" s="434"/>
      <c r="K4" s="434"/>
      <c r="L4" s="434"/>
      <c r="M4" s="434"/>
      <c r="N4" s="434"/>
      <c r="O4" s="434"/>
      <c r="P4" s="434"/>
      <c r="Q4" s="54"/>
    </row>
    <row r="5" spans="1:30" x14ac:dyDescent="0.2">
      <c r="A5" s="56">
        <f ca="1">TODAY()</f>
        <v>46051</v>
      </c>
      <c r="B5" s="435" t="s">
        <v>120</v>
      </c>
      <c r="C5" s="435"/>
      <c r="D5" s="435"/>
      <c r="E5" s="435"/>
      <c r="F5" s="435"/>
      <c r="G5" s="435"/>
      <c r="H5" s="435"/>
      <c r="I5" s="435"/>
      <c r="J5" s="435"/>
      <c r="K5" s="435"/>
      <c r="L5" s="435"/>
      <c r="M5" s="435"/>
      <c r="N5" s="435"/>
      <c r="O5" s="435"/>
    </row>
    <row r="6" spans="1:30" x14ac:dyDescent="0.2">
      <c r="A6" s="436" t="s">
        <v>2</v>
      </c>
      <c r="B6" s="436"/>
      <c r="C6" s="436"/>
      <c r="D6" s="436"/>
      <c r="E6" s="436"/>
      <c r="F6" s="436"/>
      <c r="G6" s="436"/>
      <c r="H6" s="436"/>
      <c r="I6" s="436"/>
      <c r="J6" s="436"/>
      <c r="K6" s="436"/>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2</v>
      </c>
      <c r="C10" s="63" t="str">
        <f>LOOKUP(B10,S11:AD11,S12:AD12)</f>
        <v>February</v>
      </c>
      <c r="D10" s="64">
        <f>'Customer Info'!C9</f>
        <v>2026</v>
      </c>
    </row>
    <row r="11" spans="1:30" x14ac:dyDescent="0.2">
      <c r="A11" s="443"/>
      <c r="B11" s="443"/>
      <c r="C11" s="443"/>
      <c r="D11" s="443"/>
      <c r="E11" s="443"/>
      <c r="F11" s="443"/>
      <c r="G11" s="443"/>
      <c r="H11" s="443"/>
      <c r="I11" s="443"/>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
      <c r="A16" s="158"/>
      <c r="B16" s="158"/>
      <c r="C16" s="160"/>
      <c r="D16" s="160"/>
      <c r="E16" s="160"/>
      <c r="F16" s="160"/>
      <c r="G16" s="57"/>
      <c r="H16" s="158"/>
      <c r="I16" s="158"/>
      <c r="R16" t="s">
        <v>124</v>
      </c>
      <c r="S16" s="161">
        <f>'Rider Rates'!$C$29</f>
        <v>3.18762E-2</v>
      </c>
      <c r="T16" s="161">
        <f>'Rider Rates'!$C$29</f>
        <v>3.18762E-2</v>
      </c>
      <c r="U16" s="161">
        <f>'Rider Rates'!$C$29</f>
        <v>3.18762E-2</v>
      </c>
      <c r="V16" s="161">
        <f>'Rider Rates'!$C$29</f>
        <v>3.18762E-2</v>
      </c>
      <c r="W16" s="161">
        <f>'Rider Rates'!$C$29</f>
        <v>3.18762E-2</v>
      </c>
      <c r="X16" s="161">
        <f>'Rider Rates'!$B$29</f>
        <v>3.18762E-2</v>
      </c>
      <c r="Y16" s="161">
        <f>'Rider Rates'!$B$29</f>
        <v>3.18762E-2</v>
      </c>
      <c r="Z16" s="161">
        <f>'Rider Rates'!$B$29</f>
        <v>3.18762E-2</v>
      </c>
      <c r="AA16" s="161">
        <f>'Rider Rates'!$B$29</f>
        <v>3.18762E-2</v>
      </c>
      <c r="AB16" s="161">
        <f>'Rider Rates'!$C$29</f>
        <v>3.18762E-2</v>
      </c>
      <c r="AC16" s="161">
        <f>'Rider Rates'!$C$29</f>
        <v>3.18762E-2</v>
      </c>
      <c r="AD16" s="161">
        <f>'Rider Rates'!$C$29</f>
        <v>3.18762E-2</v>
      </c>
    </row>
    <row r="17" spans="1:221" x14ac:dyDescent="0.2">
      <c r="A17" s="162" t="s">
        <v>125</v>
      </c>
      <c r="B17" s="163"/>
      <c r="C17" s="163"/>
      <c r="D17" s="163"/>
      <c r="E17" s="163"/>
      <c r="F17" s="163"/>
      <c r="G17" s="444" t="s">
        <v>71</v>
      </c>
      <c r="H17" s="445"/>
      <c r="I17" s="445"/>
      <c r="J17" s="446"/>
      <c r="K17" s="163"/>
      <c r="L17" s="447" t="s">
        <v>72</v>
      </c>
      <c r="M17" s="447"/>
      <c r="N17" s="447"/>
      <c r="O17" s="447"/>
      <c r="R17" t="s">
        <v>126</v>
      </c>
      <c r="S17" s="161">
        <f>'Rider Rates'!$C$30</f>
        <v>1.72503E-2</v>
      </c>
      <c r="T17" s="161">
        <f>'Rider Rates'!$C$30</f>
        <v>1.72503E-2</v>
      </c>
      <c r="U17" s="161">
        <f>'Rider Rates'!$C$30</f>
        <v>1.72503E-2</v>
      </c>
      <c r="V17" s="161">
        <f>'Rider Rates'!$C$30</f>
        <v>1.72503E-2</v>
      </c>
      <c r="W17" s="161">
        <f>'Rider Rates'!$C$30</f>
        <v>1.72503E-2</v>
      </c>
      <c r="X17" s="161">
        <f>'Rider Rates'!$B$30</f>
        <v>3.0280600000000001E-2</v>
      </c>
      <c r="Y17" s="161">
        <f>'Rider Rates'!$B$30</f>
        <v>3.0280600000000001E-2</v>
      </c>
      <c r="Z17" s="161">
        <f>'Rider Rates'!$B$30</f>
        <v>3.0280600000000001E-2</v>
      </c>
      <c r="AA17" s="161">
        <f>'Rider Rates'!$B$30</f>
        <v>3.0280600000000001E-2</v>
      </c>
      <c r="AB17" s="161">
        <f>'Rider Rates'!$C$30</f>
        <v>1.72503E-2</v>
      </c>
      <c r="AC17" s="161">
        <f>'Rider Rates'!$C$30</f>
        <v>1.72503E-2</v>
      </c>
      <c r="AD17" s="161">
        <f>'Rider Rates'!$C$30</f>
        <v>1.72503E-2</v>
      </c>
    </row>
    <row r="18" spans="1:221" x14ac:dyDescent="0.2">
      <c r="G18" s="164" t="s">
        <v>73</v>
      </c>
      <c r="H18" s="164" t="s">
        <v>74</v>
      </c>
      <c r="I18" s="164" t="s">
        <v>75</v>
      </c>
      <c r="J18" s="118" t="s">
        <v>76</v>
      </c>
      <c r="L18" s="165" t="s">
        <v>73</v>
      </c>
      <c r="M18" s="165" t="s">
        <v>74</v>
      </c>
      <c r="N18" s="165" t="s">
        <v>75</v>
      </c>
      <c r="O18" s="165" t="s">
        <v>76</v>
      </c>
      <c r="P18" s="166" t="s">
        <v>77</v>
      </c>
      <c r="R18" t="s">
        <v>127</v>
      </c>
      <c r="S18" s="161">
        <f>'Rider Rates'!$C$31</f>
        <v>2.0174299999999999E-2</v>
      </c>
      <c r="T18" s="161">
        <f>'Rider Rates'!$C$31</f>
        <v>2.0174299999999999E-2</v>
      </c>
      <c r="U18" s="161">
        <f>'Rider Rates'!$C$31</f>
        <v>2.0174299999999999E-2</v>
      </c>
      <c r="V18" s="161">
        <f>'Rider Rates'!$C$31</f>
        <v>2.0174299999999999E-2</v>
      </c>
      <c r="W18" s="161">
        <f>'Rider Rates'!$C$31</f>
        <v>2.0174299999999999E-2</v>
      </c>
      <c r="X18" s="161">
        <f>'Rider Rates'!$B$31</f>
        <v>2.8333000000000001E-2</v>
      </c>
      <c r="Y18" s="161">
        <f>'Rider Rates'!$B$31</f>
        <v>2.8333000000000001E-2</v>
      </c>
      <c r="Z18" s="161">
        <f>'Rider Rates'!$B$31</f>
        <v>2.8333000000000001E-2</v>
      </c>
      <c r="AA18" s="161">
        <f>'Rider Rates'!$B$31</f>
        <v>2.8333000000000001E-2</v>
      </c>
      <c r="AB18" s="161">
        <f>'Rider Rates'!$C$31</f>
        <v>2.0174299999999999E-2</v>
      </c>
      <c r="AC18" s="161">
        <f>'Rider Rates'!$C$31</f>
        <v>2.0174299999999999E-2</v>
      </c>
      <c r="AD18" s="161">
        <f>'Rider Rates'!$C$31</f>
        <v>2.0174299999999999E-2</v>
      </c>
    </row>
    <row r="19" spans="1:221" x14ac:dyDescent="0.2">
      <c r="A19" t="s">
        <v>78</v>
      </c>
      <c r="G19" s="167"/>
      <c r="H19" s="167"/>
      <c r="I19" s="168">
        <v>10</v>
      </c>
      <c r="J19" s="168">
        <f>SUM(G19:I19)</f>
        <v>10</v>
      </c>
      <c r="L19" s="168"/>
      <c r="M19" s="168"/>
      <c r="N19" s="168">
        <f>I19</f>
        <v>10</v>
      </c>
      <c r="O19" s="168">
        <f>+SUM(L19:N19)</f>
        <v>10</v>
      </c>
      <c r="P19" s="92">
        <v>44531</v>
      </c>
      <c r="R19" s="44" t="s">
        <v>128</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IF($C$14&lt;0,0,IF($C$14&gt;833000,833000,$C$14))</f>
        <v>0</v>
      </c>
      <c r="E25" s="97" t="s">
        <v>19</v>
      </c>
      <c r="F25" s="84" t="s">
        <v>80</v>
      </c>
      <c r="G25" s="100"/>
      <c r="H25" s="100"/>
      <c r="I25" s="100">
        <f>'Rider Rates'!$B$4</f>
        <v>5.5215000000000004E-3</v>
      </c>
      <c r="J25" s="175">
        <f t="shared" ref="J25:J44" si="0">SUM(G25:I25)</f>
        <v>5.5215000000000004E-3</v>
      </c>
      <c r="K25" s="94" t="s">
        <v>85</v>
      </c>
      <c r="L25" s="89"/>
      <c r="M25" s="89"/>
      <c r="N25" s="89">
        <f t="shared" ref="N25:N30" si="1">ROUND(D25*I25,2)</f>
        <v>0</v>
      </c>
      <c r="O25" s="89">
        <f>SUM(L25:N25)</f>
        <v>0</v>
      </c>
      <c r="P25" s="92">
        <f>'Rider Rates'!$D$4</f>
        <v>46022</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SUM(L26:N26)</f>
        <v>0</v>
      </c>
      <c r="P26" s="92">
        <f>'Rider Rates'!$D$4</f>
        <v>46022</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SUM(L27:N27)</f>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SUM(L28:N28)</f>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SUM(L29:N29)</f>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90</v>
      </c>
      <c r="B30" s="72"/>
      <c r="C30" s="72"/>
      <c r="D30" s="111">
        <f>IF($C$14&lt;0,0,$C$14)</f>
        <v>0</v>
      </c>
      <c r="E30" s="97" t="s">
        <v>19</v>
      </c>
      <c r="F30" s="84" t="s">
        <v>80</v>
      </c>
      <c r="G30" s="100"/>
      <c r="H30" s="100"/>
      <c r="I30" s="100">
        <f>'Rider Rates'!B15</f>
        <v>0</v>
      </c>
      <c r="J30" s="100">
        <f>SUM(G30:I30)</f>
        <v>0</v>
      </c>
      <c r="K30" s="94" t="s">
        <v>85</v>
      </c>
      <c r="L30" s="89"/>
      <c r="M30" s="89"/>
      <c r="N30" s="89">
        <f t="shared" si="1"/>
        <v>0</v>
      </c>
      <c r="O30" s="89">
        <f t="shared" ref="O30:O36" si="2">SUM(L30:N30)</f>
        <v>0</v>
      </c>
      <c r="P30" s="92">
        <f>'Rider Rates'!$D$15</f>
        <v>45716</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t="s">
        <v>91</v>
      </c>
      <c r="B31" s="72"/>
      <c r="C31" s="72"/>
      <c r="D31" s="113">
        <f>$N$21</f>
        <v>10</v>
      </c>
      <c r="E31" s="97" t="s">
        <v>92</v>
      </c>
      <c r="F31" s="84" t="s">
        <v>80</v>
      </c>
      <c r="G31" s="100"/>
      <c r="H31" s="100"/>
      <c r="I31" s="114">
        <f>'Rider Rates'!$B$18</f>
        <v>0</v>
      </c>
      <c r="J31" s="114">
        <f>SUM(G31:I31)</f>
        <v>0</v>
      </c>
      <c r="K31" s="94"/>
      <c r="L31" s="89"/>
      <c r="M31" s="89"/>
      <c r="N31" s="89">
        <f>ROUND($D$31*'Rider Rates'!$B$18,2)+ROUND($D$31*'Rider Rates'!$E$18,2)</f>
        <v>0</v>
      </c>
      <c r="O31" s="89">
        <f t="shared" si="2"/>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130</v>
      </c>
      <c r="B32" s="72"/>
      <c r="C32" s="72"/>
      <c r="D32" s="111">
        <f>'Customer Info'!$B$22+'Customer Info'!$B$23-'Customer Info'!$B$24</f>
        <v>0</v>
      </c>
      <c r="E32" s="97" t="s">
        <v>19</v>
      </c>
      <c r="F32" s="84" t="s">
        <v>80</v>
      </c>
      <c r="G32" s="100">
        <f>'Rider Rates'!B21</f>
        <v>7.6880000000000004E-2</v>
      </c>
      <c r="H32" s="100"/>
      <c r="I32" s="100"/>
      <c r="J32" s="115">
        <f>SUM(G32:H32)</f>
        <v>7.6880000000000004E-2</v>
      </c>
      <c r="K32" s="94" t="s">
        <v>85</v>
      </c>
      <c r="L32" s="89">
        <f>ROUND(D32*G32,2)</f>
        <v>0</v>
      </c>
      <c r="M32" s="89"/>
      <c r="N32" s="89"/>
      <c r="O32" s="89">
        <f t="shared" si="2"/>
        <v>0</v>
      </c>
      <c r="P32" s="92">
        <f>'Rider Rates'!$D$29</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94</v>
      </c>
      <c r="B33" s="72"/>
      <c r="C33" s="72"/>
      <c r="D33" s="111">
        <f>'Customer Info'!$B$22+'Customer Info'!$B$23-'Customer Info'!$B$24</f>
        <v>0</v>
      </c>
      <c r="E33" s="97" t="s">
        <v>19</v>
      </c>
      <c r="F33" s="84" t="s">
        <v>80</v>
      </c>
      <c r="G33" s="100">
        <f>'Rider Rates'!$B$28</f>
        <v>2.298E-2</v>
      </c>
      <c r="H33" s="100"/>
      <c r="I33" s="100"/>
      <c r="J33" s="115">
        <f>SUM(G33:H33)</f>
        <v>2.298E-2</v>
      </c>
      <c r="K33" s="94" t="s">
        <v>85</v>
      </c>
      <c r="L33" s="89">
        <f>ROUND(D33*G33,2)</f>
        <v>0</v>
      </c>
      <c r="M33" s="89"/>
      <c r="N33" s="89"/>
      <c r="O33" s="89">
        <f t="shared" si="2"/>
        <v>0</v>
      </c>
      <c r="P33" s="92">
        <f>'Rider Rates'!$D$29</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95</v>
      </c>
      <c r="B34" s="72"/>
      <c r="C34" s="72"/>
      <c r="D34" s="111">
        <f>'Customer Info'!$B$22+'Customer Info'!$B$23-'Customer Info'!$B$24</f>
        <v>0</v>
      </c>
      <c r="E34" s="97" t="s">
        <v>19</v>
      </c>
      <c r="F34" s="84" t="s">
        <v>80</v>
      </c>
      <c r="G34" s="100">
        <f>'Rider Rates'!B49</f>
        <v>2.7588999999999999E-3</v>
      </c>
      <c r="H34" s="100"/>
      <c r="I34" s="100"/>
      <c r="J34" s="115">
        <f>SUM(G34:H34)</f>
        <v>2.7588999999999999E-3</v>
      </c>
      <c r="K34" s="94" t="s">
        <v>85</v>
      </c>
      <c r="L34" s="89">
        <f>ROUND(D34*G34,2)</f>
        <v>0</v>
      </c>
      <c r="M34" s="89"/>
      <c r="N34" s="89"/>
      <c r="O34" s="89">
        <f>SUM(L34:N34)</f>
        <v>0</v>
      </c>
      <c r="P34" s="92">
        <f>'Rider Rates'!$D$49</f>
        <v>46022</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c r="E35" s="97" t="s">
        <v>55</v>
      </c>
      <c r="F35" s="84"/>
      <c r="G35" s="100"/>
      <c r="H35" s="100"/>
      <c r="I35" s="100">
        <f>'Rider Rates'!D52</f>
        <v>0</v>
      </c>
      <c r="J35" s="100">
        <f>SUM(G35:I35)</f>
        <v>0</v>
      </c>
      <c r="K35" s="94" t="s">
        <v>85</v>
      </c>
      <c r="L35" s="89"/>
      <c r="M35" s="89"/>
      <c r="N35" s="89">
        <f>J35</f>
        <v>0</v>
      </c>
      <c r="O35" s="89">
        <f>SUM(L35:N35)</f>
        <v>0</v>
      </c>
      <c r="P35" s="92">
        <f>'Rider Rates'!E52</f>
        <v>45883</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IF($C$14&lt;0,0,$C$14)</f>
        <v>0</v>
      </c>
      <c r="E36" s="97" t="s">
        <v>19</v>
      </c>
      <c r="F36" s="84" t="s">
        <v>80</v>
      </c>
      <c r="G36" s="100"/>
      <c r="H36" s="100">
        <f>'Rider Rates'!$B$57</f>
        <v>3.55042E-2</v>
      </c>
      <c r="I36" s="100"/>
      <c r="J36" s="100">
        <f>SUM(G36:I36)</f>
        <v>3.55042E-2</v>
      </c>
      <c r="K36" s="94" t="s">
        <v>85</v>
      </c>
      <c r="L36" s="89"/>
      <c r="M36" s="89">
        <f>ROUND(D36*H36,2)</f>
        <v>0</v>
      </c>
      <c r="N36" s="116"/>
      <c r="O36" s="89">
        <f t="shared" si="2"/>
        <v>0</v>
      </c>
      <c r="P36" s="92">
        <f>'Rider Rates'!$D$57</f>
        <v>45929</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98</v>
      </c>
      <c r="B37" s="72"/>
      <c r="C37" s="72"/>
      <c r="D37" s="111">
        <f>IF($C$14&lt;0,0,$C$14)</f>
        <v>0</v>
      </c>
      <c r="E37" s="97" t="s">
        <v>19</v>
      </c>
      <c r="F37" s="84" t="s">
        <v>80</v>
      </c>
      <c r="G37" s="100"/>
      <c r="H37" s="100"/>
      <c r="I37" s="100">
        <f>'Rider Rates'!$B$68</f>
        <v>7.3870000000000001E-4</v>
      </c>
      <c r="J37" s="100">
        <f t="shared" ref="J37" si="3">SUM(G37:I37)</f>
        <v>7.3870000000000001E-4</v>
      </c>
      <c r="K37" s="94" t="s">
        <v>85</v>
      </c>
      <c r="L37" s="89"/>
      <c r="M37" s="89"/>
      <c r="N37" s="89">
        <f>ROUND($D$37*'Rider Rates'!$B$68,2)</f>
        <v>0</v>
      </c>
      <c r="O37" s="89">
        <f>SUM(L37:N37)</f>
        <v>0</v>
      </c>
      <c r="P37" s="92">
        <f>'Rider Rates'!$D$68</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f>IF('Customer Info'!C35=TRUE,0,IF($C$14&lt;0,0,$C$14))</f>
        <v>0</v>
      </c>
      <c r="E38" s="97" t="s">
        <v>19</v>
      </c>
      <c r="F38" s="84" t="s">
        <v>80</v>
      </c>
      <c r="G38" s="100"/>
      <c r="H38" s="100"/>
      <c r="I38" s="100">
        <f>'Rider Rates'!$B$71+'Rider Rates'!$C$71</f>
        <v>0</v>
      </c>
      <c r="J38" s="100">
        <f t="shared" si="0"/>
        <v>0</v>
      </c>
      <c r="K38" s="94" t="s">
        <v>85</v>
      </c>
      <c r="L38" s="89"/>
      <c r="M38" s="89"/>
      <c r="N38" s="89">
        <f>ROUND($D$38*'Rider Rates'!$B$71,2)+ROUND($D$38*'Rider Rates'!$C$71,2)</f>
        <v>0</v>
      </c>
      <c r="O38" s="89">
        <f>SUM(L38:N38)</f>
        <v>0</v>
      </c>
      <c r="P38" s="92">
        <f>'Rider Rates'!$D$71</f>
        <v>44531</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$N$21</f>
        <v>10</v>
      </c>
      <c r="E39" s="97" t="s">
        <v>92</v>
      </c>
      <c r="F39" s="84" t="s">
        <v>80</v>
      </c>
      <c r="G39" s="117"/>
      <c r="H39" s="118"/>
      <c r="I39" s="119">
        <f>'Rider Rates'!$B$87</f>
        <v>3.5344300000000002E-2</v>
      </c>
      <c r="J39" s="119">
        <f t="shared" si="0"/>
        <v>3.5344300000000002E-2</v>
      </c>
      <c r="K39" s="94"/>
      <c r="L39" s="89"/>
      <c r="M39" s="89"/>
      <c r="N39" s="89">
        <f>ROUND(D39*I39,2)</f>
        <v>0.35</v>
      </c>
      <c r="O39" s="89">
        <f>SUM(L39:N39)</f>
        <v>0.35</v>
      </c>
      <c r="P39" s="92">
        <f>'Rider Rates'!$D$87</f>
        <v>45929</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$N$21</f>
        <v>10</v>
      </c>
      <c r="E40" s="97" t="s">
        <v>92</v>
      </c>
      <c r="F40" s="84" t="s">
        <v>80</v>
      </c>
      <c r="G40" s="120"/>
      <c r="H40" s="85"/>
      <c r="I40" s="119">
        <f>'Rider Rates'!$B$89</f>
        <v>7.8822199999999995E-2</v>
      </c>
      <c r="J40" s="119">
        <f t="shared" si="0"/>
        <v>7.8822199999999995E-2</v>
      </c>
      <c r="K40" s="94"/>
      <c r="L40" s="89"/>
      <c r="M40" s="89"/>
      <c r="N40" s="89">
        <f>ROUND(D40*I40,2)</f>
        <v>0.79</v>
      </c>
      <c r="O40" s="89">
        <f>SUM(L40:N40)</f>
        <v>0.79</v>
      </c>
      <c r="P40" s="92">
        <f>'Rider Rates'!$D$89</f>
        <v>45987</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Rates'!$B$92</f>
        <v>2.62</v>
      </c>
      <c r="J41" s="121">
        <f t="shared" si="0"/>
        <v>2.62</v>
      </c>
      <c r="K41" s="94"/>
      <c r="L41" s="89"/>
      <c r="M41" s="89"/>
      <c r="N41" s="89">
        <f>I41</f>
        <v>2.62</v>
      </c>
      <c r="O41" s="89">
        <f>SUM(L41:N41)</f>
        <v>2.62</v>
      </c>
      <c r="P41" s="92">
        <f>'Rider Rates'!$D$92</f>
        <v>46022</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103</v>
      </c>
      <c r="B42" s="72"/>
      <c r="C42" s="72"/>
      <c r="D42" s="111">
        <f>IF($C$14&lt;0,0,$C$14)</f>
        <v>0</v>
      </c>
      <c r="E42" s="97" t="s">
        <v>19</v>
      </c>
      <c r="F42" s="84" t="s">
        <v>80</v>
      </c>
      <c r="G42" s="100"/>
      <c r="H42" s="100"/>
      <c r="I42" s="100"/>
      <c r="J42" s="100">
        <f>'Rider Rates'!$B$96</f>
        <v>0</v>
      </c>
      <c r="K42" s="94" t="s">
        <v>85</v>
      </c>
      <c r="L42" s="89"/>
      <c r="M42" s="89"/>
      <c r="N42" s="89"/>
      <c r="O42" s="89">
        <f>ROUND($D42*('Rider Rates'!B$96),2)</f>
        <v>0</v>
      </c>
      <c r="P42" s="92">
        <f>'Rider Rates'!$D$96</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104</v>
      </c>
      <c r="B43" s="72"/>
      <c r="C43" s="72"/>
      <c r="D43" s="113">
        <f>$N$21</f>
        <v>10</v>
      </c>
      <c r="E43" s="97" t="s">
        <v>92</v>
      </c>
      <c r="F43" s="84" t="s">
        <v>80</v>
      </c>
      <c r="G43" s="120"/>
      <c r="H43" s="85"/>
      <c r="I43" s="119">
        <f>'Rider Rates'!$B$107</f>
        <v>0.24079249999999999</v>
      </c>
      <c r="J43" s="119">
        <f t="shared" si="0"/>
        <v>0.24079249999999999</v>
      </c>
      <c r="K43" s="94"/>
      <c r="L43" s="89"/>
      <c r="M43" s="89"/>
      <c r="N43" s="89">
        <f>ROUND(D43*I43,2)</f>
        <v>2.41</v>
      </c>
      <c r="O43" s="89">
        <f t="shared" ref="O43:O47" si="4">SUM(L43:N43)</f>
        <v>2.41</v>
      </c>
      <c r="P43" s="92">
        <f>'Rider Rates'!$D$107</f>
        <v>45987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105</v>
      </c>
      <c r="B44" s="72"/>
      <c r="C44" s="72"/>
      <c r="D44" s="113"/>
      <c r="E44" s="97" t="s">
        <v>55</v>
      </c>
      <c r="F44" s="84"/>
      <c r="G44" s="120"/>
      <c r="H44" s="85"/>
      <c r="I44" s="123">
        <f>'Rider Rates'!B122</f>
        <v>0.2</v>
      </c>
      <c r="J44" s="121">
        <f t="shared" si="0"/>
        <v>0.2</v>
      </c>
      <c r="K44" s="94"/>
      <c r="L44" s="89"/>
      <c r="M44" s="89"/>
      <c r="N44" s="125">
        <f>I44</f>
        <v>0.2</v>
      </c>
      <c r="O44" s="89">
        <f t="shared" si="4"/>
        <v>0.2</v>
      </c>
      <c r="P44" s="92">
        <f>'Rider Rates'!D122</f>
        <v>45958</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106</v>
      </c>
      <c r="B45" s="72"/>
      <c r="C45" s="72"/>
      <c r="D45" s="111">
        <f>'Customer Info'!$B$22+'Customer Info'!$B$23-'Customer Info'!$B$24</f>
        <v>0</v>
      </c>
      <c r="E45" s="97" t="s">
        <v>19</v>
      </c>
      <c r="F45" s="84" t="s">
        <v>80</v>
      </c>
      <c r="G45" s="100">
        <f>'Rider Rates'!$B$113</f>
        <v>3.8972999999999998E-3</v>
      </c>
      <c r="H45" s="100"/>
      <c r="I45" s="119"/>
      <c r="J45" s="115">
        <f>SUM(G45:H45)</f>
        <v>3.8972999999999998E-3</v>
      </c>
      <c r="K45" s="94" t="s">
        <v>85</v>
      </c>
      <c r="L45" s="89">
        <f>ROUND(D45*G45,2)</f>
        <v>0</v>
      </c>
      <c r="M45" s="89"/>
      <c r="N45" s="89"/>
      <c r="O45" s="89">
        <f t="shared" si="4"/>
        <v>0</v>
      </c>
      <c r="P45" s="92">
        <f>'Rider Rates'!$D$113</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107</v>
      </c>
      <c r="B46" s="72"/>
      <c r="C46" s="72"/>
      <c r="D46" s="111">
        <f>IF($C$14&lt;1,0,$C$14)</f>
        <v>0</v>
      </c>
      <c r="E46" s="97" t="s">
        <v>19</v>
      </c>
      <c r="F46" s="126" t="s">
        <v>80</v>
      </c>
      <c r="G46" s="100"/>
      <c r="H46" s="100"/>
      <c r="I46" s="115">
        <f>'Rider Rates'!$B$118</f>
        <v>0</v>
      </c>
      <c r="J46" s="115">
        <f>SUM(G46:I46)</f>
        <v>0</v>
      </c>
      <c r="K46" s="94" t="s">
        <v>85</v>
      </c>
      <c r="L46" s="89"/>
      <c r="M46" s="89"/>
      <c r="N46" s="89">
        <f>D46*J46</f>
        <v>0</v>
      </c>
      <c r="O46" s="89">
        <f t="shared" si="4"/>
        <v>0</v>
      </c>
      <c r="P46" s="92">
        <f>'Rider Rates'!D118</f>
        <v>45657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2" t="s">
        <v>108</v>
      </c>
      <c r="B47" s="72"/>
      <c r="C47" s="72"/>
      <c r="D47" s="111"/>
      <c r="E47" s="97" t="s">
        <v>55</v>
      </c>
      <c r="F47" s="84" t="s">
        <v>80</v>
      </c>
      <c r="G47" s="127"/>
      <c r="H47" s="127"/>
      <c r="I47" s="127">
        <f>'Rider Rates'!$B$126</f>
        <v>0</v>
      </c>
      <c r="J47" s="127">
        <f>SUM(G47:I47)</f>
        <v>0</v>
      </c>
      <c r="K47" s="94"/>
      <c r="L47" s="128"/>
      <c r="M47" s="128"/>
      <c r="N47" s="128">
        <f>J47</f>
        <v>0</v>
      </c>
      <c r="O47" s="128">
        <f t="shared" si="4"/>
        <v>0</v>
      </c>
      <c r="P47" s="129">
        <f>'Rider Rates'!$E$126</f>
        <v>45883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109</v>
      </c>
      <c r="B48" s="72"/>
      <c r="C48" s="72"/>
      <c r="D48" s="111">
        <f>C14</f>
        <v>0</v>
      </c>
      <c r="E48" s="97" t="s">
        <v>19</v>
      </c>
      <c r="F48" s="126" t="s">
        <v>80</v>
      </c>
      <c r="G48" s="100"/>
      <c r="H48" s="100"/>
      <c r="I48" s="100">
        <f>'Rider Rates'!$B$131</f>
        <v>0</v>
      </c>
      <c r="J48" s="115">
        <f>SUM(G48:I48)</f>
        <v>0</v>
      </c>
      <c r="K48" s="94" t="s">
        <v>85</v>
      </c>
      <c r="L48" s="89"/>
      <c r="M48" s="89"/>
      <c r="N48" s="89">
        <f>D48*J48</f>
        <v>0</v>
      </c>
      <c r="O48" s="89">
        <f>SUM(L48:N48)</f>
        <v>0</v>
      </c>
      <c r="P48" s="92">
        <f>'Rider Rates'!D131</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110</v>
      </c>
      <c r="B49" s="72"/>
      <c r="C49" s="72"/>
      <c r="D49" s="111"/>
      <c r="E49" s="97" t="s">
        <v>55</v>
      </c>
      <c r="F49" s="84" t="s">
        <v>80</v>
      </c>
      <c r="G49" s="127"/>
      <c r="H49" s="127"/>
      <c r="I49" s="127">
        <f>'Rider Rates'!$B$138</f>
        <v>0</v>
      </c>
      <c r="J49" s="127">
        <f>SUM(G49:I49)</f>
        <v>0</v>
      </c>
      <c r="K49" s="94"/>
      <c r="L49" s="128"/>
      <c r="M49" s="128"/>
      <c r="N49" s="128">
        <f>J49</f>
        <v>0</v>
      </c>
      <c r="O49" s="128">
        <f>SUM(L49:N49)</f>
        <v>0</v>
      </c>
      <c r="P49" s="129">
        <f>'Rider Rates'!$D$134</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111</v>
      </c>
      <c r="B50" s="72"/>
      <c r="C50" s="72"/>
      <c r="D50" s="111"/>
      <c r="E50" s="97"/>
      <c r="F50" s="84"/>
      <c r="G50" s="127"/>
      <c r="H50" s="127"/>
      <c r="I50" s="127"/>
      <c r="J50" s="127"/>
      <c r="K50" s="94"/>
      <c r="L50" s="128"/>
      <c r="M50" s="128"/>
      <c r="N50" s="128"/>
      <c r="O50" s="128"/>
      <c r="P50" s="129"/>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130" t="s">
        <v>112</v>
      </c>
      <c r="B51" s="69"/>
      <c r="C51" s="69"/>
      <c r="D51" s="131"/>
      <c r="E51" s="132"/>
      <c r="F51" s="133"/>
      <c r="G51" s="133"/>
      <c r="H51" s="133"/>
      <c r="I51" s="133"/>
      <c r="J51" s="133"/>
      <c r="K51" s="134"/>
      <c r="L51" s="105">
        <f>SUM(L25:L50)</f>
        <v>0</v>
      </c>
      <c r="M51" s="105">
        <f>SUM(M25:M50)</f>
        <v>0</v>
      </c>
      <c r="N51" s="105">
        <f>SUM(N25:N50)</f>
        <v>6.37</v>
      </c>
      <c r="O51" s="105">
        <f>SUM(O25:O50)</f>
        <v>6.37</v>
      </c>
      <c r="P51" s="135"/>
      <c r="Q51" s="84"/>
      <c r="R51" s="102"/>
      <c r="S51" s="102"/>
      <c r="T51" s="136"/>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c r="B52" s="72"/>
      <c r="C52" s="72"/>
      <c r="D52" s="111"/>
      <c r="E52" s="97"/>
      <c r="F52" s="84"/>
      <c r="G52" s="84"/>
      <c r="H52" s="84"/>
      <c r="I52" s="84"/>
      <c r="J52" s="101"/>
      <c r="K52" s="94"/>
      <c r="L52" s="84"/>
      <c r="M52" s="84"/>
      <c r="N52" s="84"/>
      <c r="O52" s="84"/>
      <c r="P52" s="137"/>
      <c r="Q52" s="84"/>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106"/>
      <c r="B53" s="106"/>
      <c r="C53" s="106"/>
      <c r="D53" s="106"/>
      <c r="E53" s="106"/>
      <c r="F53" s="106"/>
      <c r="G53" s="106"/>
      <c r="H53" s="106"/>
      <c r="I53" s="106"/>
      <c r="J53" s="106"/>
      <c r="K53" s="106"/>
      <c r="L53" s="139">
        <f>L21+L51</f>
        <v>0</v>
      </c>
      <c r="M53" s="139">
        <f>M21+M51</f>
        <v>0</v>
      </c>
      <c r="N53" s="139">
        <f>N21+N51</f>
        <v>16.37</v>
      </c>
      <c r="O53" s="140">
        <f>O21+O51</f>
        <v>16.37</v>
      </c>
      <c r="P53" s="140"/>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72"/>
      <c r="P54" s="72"/>
      <c r="Q54" s="10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02" t="s">
        <v>114</v>
      </c>
      <c r="B55" s="72"/>
      <c r="C55" s="72"/>
      <c r="D55" s="72"/>
      <c r="E55" s="72"/>
      <c r="F55" s="72"/>
      <c r="G55" s="72"/>
      <c r="H55" s="72"/>
      <c r="I55" s="72"/>
      <c r="J55" s="72"/>
      <c r="K55" s="72"/>
      <c r="L55" s="72"/>
      <c r="M55" s="72"/>
      <c r="N55" s="72"/>
      <c r="O55" s="95">
        <f>IF($C$14&lt;=0,MIN(O19,O53), O19)</f>
        <v>10</v>
      </c>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69" t="s">
        <v>115</v>
      </c>
      <c r="B57" s="72"/>
      <c r="C57" s="72"/>
      <c r="D57" s="72"/>
      <c r="E57" s="72"/>
      <c r="F57" s="72"/>
      <c r="G57" s="72"/>
      <c r="H57" s="72"/>
      <c r="I57" s="72"/>
      <c r="J57" s="72"/>
      <c r="K57" s="72"/>
      <c r="L57" s="72"/>
      <c r="M57" s="72"/>
      <c r="N57" s="72"/>
      <c r="O57" s="141">
        <f>IF($C$14&lt;0,O53,IF(O53&gt;O55,O53,I52))</f>
        <v>16.37</v>
      </c>
      <c r="P57" s="84"/>
      <c r="Q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142"/>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102"/>
      <c r="C59" s="102"/>
      <c r="D59" s="102"/>
      <c r="E59" s="102"/>
      <c r="F59" s="102"/>
      <c r="G59" s="102"/>
      <c r="H59" s="102"/>
      <c r="I59" s="102" t="s">
        <v>116</v>
      </c>
      <c r="J59" s="102"/>
      <c r="K59" s="102"/>
      <c r="L59" s="143"/>
      <c r="M59" s="143"/>
      <c r="N59" s="143"/>
      <c r="O59" s="143">
        <f>ROUND(IF($C$14&lt;1,0,O53/($C$14*100)*10000),2)</f>
        <v>0</v>
      </c>
      <c r="P59" s="144" t="s">
        <v>117</v>
      </c>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c r="HN59" s="72"/>
      <c r="HO59" s="72"/>
      <c r="HP59" s="72"/>
      <c r="HQ59" s="72"/>
      <c r="HR59" s="72"/>
      <c r="HS59" s="72"/>
      <c r="HT59" s="72"/>
      <c r="HU59" s="72"/>
      <c r="HV59" s="72"/>
      <c r="HW59" s="72"/>
      <c r="HX59" s="72"/>
      <c r="HY59" s="72"/>
      <c r="HZ59" s="72"/>
      <c r="IA59" s="72"/>
      <c r="IB59" s="72"/>
    </row>
    <row r="60" spans="1:236" x14ac:dyDescent="0.2">
      <c r="A60" s="72"/>
      <c r="B60" s="72"/>
      <c r="C60" s="72"/>
      <c r="D60" s="72"/>
      <c r="E60" s="72"/>
      <c r="F60" s="72"/>
      <c r="G60" s="72"/>
      <c r="H60" s="145"/>
      <c r="I60" s="146" t="s">
        <v>118</v>
      </c>
      <c r="J60" s="72"/>
      <c r="K60" s="72"/>
      <c r="L60" s="72"/>
      <c r="M60" s="72"/>
      <c r="N60" s="72"/>
      <c r="O60" s="147">
        <f>ROUND(IF($C$14&lt;1,0,(L53)/($C$14*100)*10000),2)</f>
        <v>0</v>
      </c>
      <c r="P60" s="59" t="s">
        <v>117</v>
      </c>
      <c r="Q60" s="72"/>
      <c r="AE60" s="72"/>
      <c r="AF60" s="72"/>
      <c r="AG60" s="72"/>
      <c r="AH60" s="72"/>
      <c r="AI60" s="72"/>
      <c r="AJ60" s="72"/>
      <c r="AK60" s="72"/>
      <c r="AL60" s="72"/>
      <c r="AM60" s="72"/>
      <c r="AN60" s="72"/>
      <c r="AO60" s="72"/>
      <c r="AP60" s="72"/>
      <c r="AQ60" s="72"/>
      <c r="AR60" s="72"/>
      <c r="AS60" s="72"/>
      <c r="AT60" s="72"/>
      <c r="HE60" s="72"/>
      <c r="HF60" s="72"/>
      <c r="HG60" s="72"/>
      <c r="HH60" s="72"/>
      <c r="HI60" s="72"/>
      <c r="HJ60" s="72"/>
      <c r="HK60" s="72"/>
      <c r="HL60" s="72"/>
      <c r="HM60" s="72"/>
      <c r="HN60" s="72"/>
    </row>
    <row r="61" spans="1:236" x14ac:dyDescent="0.2">
      <c r="A61" s="72"/>
    </row>
    <row r="62" spans="1:236" x14ac:dyDescent="0.2">
      <c r="A62" s="72"/>
    </row>
    <row r="63" spans="1:236" x14ac:dyDescent="0.2">
      <c r="A63" s="72"/>
    </row>
    <row r="64" spans="1:236" x14ac:dyDescent="0.2">
      <c r="A64" s="72"/>
    </row>
    <row r="65" spans="1:1" x14ac:dyDescent="0.2">
      <c r="A65" s="72"/>
    </row>
    <row r="66" spans="1:1" x14ac:dyDescent="0.2">
      <c r="A66" s="72"/>
    </row>
  </sheetData>
  <sheetProtection algorithmName="SHA-512" hashValue="6Zem0NOgL+ftGDCF6PU2CsfPDkEYXVlJ46YKn3dwXClJcCgsNNe3Dto7ncYCuV4WNwligYrLUbGMAJm9+bLc5g==" saltValue="I1Thpy23HYdCQ/XOoXw05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098"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09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779B1-6B94-4EE1-AD8B-91F22FB7A632}">
  <dimension ref="A1:IB93"/>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2" t="s">
        <v>50</v>
      </c>
      <c r="B1" s="432"/>
      <c r="C1" s="432"/>
      <c r="D1" s="432"/>
      <c r="E1" s="432"/>
      <c r="F1" s="432"/>
      <c r="G1" s="432"/>
      <c r="H1" s="432"/>
      <c r="I1" s="432"/>
      <c r="J1" s="432"/>
      <c r="K1" s="432"/>
      <c r="L1" s="432"/>
      <c r="M1" s="432"/>
      <c r="N1" s="432"/>
      <c r="O1" s="432"/>
      <c r="P1" s="432"/>
      <c r="Q1" s="52"/>
    </row>
    <row r="2" spans="1:59" ht="20.25" x14ac:dyDescent="0.3">
      <c r="A2" s="432" t="s">
        <v>138</v>
      </c>
      <c r="B2" s="432"/>
      <c r="C2" s="432"/>
      <c r="D2" s="432"/>
      <c r="E2" s="432"/>
      <c r="F2" s="432"/>
      <c r="G2" s="432"/>
      <c r="H2" s="432"/>
      <c r="I2" s="432"/>
      <c r="J2" s="432"/>
      <c r="K2" s="432"/>
      <c r="L2" s="432"/>
      <c r="M2" s="432"/>
      <c r="N2" s="432"/>
      <c r="O2" s="432"/>
      <c r="P2" s="432"/>
    </row>
    <row r="3" spans="1:59" ht="18" x14ac:dyDescent="0.25">
      <c r="A3" s="449" t="s">
        <v>51</v>
      </c>
      <c r="B3" s="449"/>
      <c r="C3" s="449"/>
      <c r="D3" s="449"/>
      <c r="E3" s="449"/>
      <c r="F3" s="449"/>
      <c r="G3" s="449"/>
      <c r="H3" s="449"/>
      <c r="I3" s="449"/>
      <c r="J3" s="449"/>
      <c r="K3" s="449"/>
      <c r="L3" s="449"/>
      <c r="M3" s="449"/>
      <c r="N3" s="449"/>
      <c r="O3" s="449"/>
      <c r="P3" s="449"/>
      <c r="Q3" s="53"/>
    </row>
    <row r="4" spans="1:59"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46051</v>
      </c>
      <c r="B6" s="435" t="s">
        <v>139</v>
      </c>
      <c r="C6" s="435"/>
      <c r="D6" s="435"/>
      <c r="E6" s="435"/>
      <c r="F6" s="435"/>
      <c r="G6" s="435"/>
      <c r="H6" s="435"/>
      <c r="I6" s="435"/>
      <c r="J6" s="435"/>
      <c r="K6" s="435"/>
      <c r="L6" s="435"/>
      <c r="M6" s="435"/>
      <c r="N6" s="435"/>
      <c r="O6" s="435"/>
    </row>
    <row r="7" spans="1:59" x14ac:dyDescent="0.2">
      <c r="A7" s="436" t="s">
        <v>2</v>
      </c>
      <c r="B7" s="436"/>
      <c r="C7" s="436"/>
      <c r="D7" s="436"/>
      <c r="E7" s="436"/>
      <c r="F7" s="436"/>
      <c r="G7" s="436"/>
      <c r="H7" s="436"/>
      <c r="I7" s="436"/>
      <c r="J7" s="436"/>
      <c r="K7" s="436"/>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2</v>
      </c>
      <c r="C11" s="63" t="str">
        <f>LOOKUP($B$11,$S$11:$AD$11,S12:AD12)</f>
        <v>February</v>
      </c>
      <c r="D11" s="64">
        <f>'Customer Info'!C9</f>
        <v>2026</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143</v>
      </c>
      <c r="B18" s="72"/>
      <c r="C18" s="78"/>
      <c r="D18" s="178">
        <f>'Customer Info'!B22</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144</v>
      </c>
      <c r="B19" s="72"/>
      <c r="C19" s="78"/>
      <c r="D19" s="178">
        <f>'Customer Info'!B23</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7" t="s">
        <v>71</v>
      </c>
      <c r="H23" s="438"/>
      <c r="I23" s="438"/>
      <c r="J23" s="439"/>
      <c r="K23" s="83"/>
      <c r="L23" s="440" t="s">
        <v>72</v>
      </c>
      <c r="M23" s="441"/>
      <c r="N23" s="441"/>
      <c r="O23" s="442"/>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5.5215000000000004E-3</v>
      </c>
      <c r="J31" s="100">
        <f t="shared" ref="J31:J37" si="0">SUM(G31:I31)</f>
        <v>5.5215000000000004E-3</v>
      </c>
      <c r="K31" s="94" t="s">
        <v>85</v>
      </c>
      <c r="L31" s="89"/>
      <c r="M31" s="89"/>
      <c r="N31" s="89">
        <f t="shared" ref="N31:N36" si="1">ROUND(D31*I31,2)</f>
        <v>0</v>
      </c>
      <c r="O31" s="91">
        <f t="shared" ref="O31:O53" si="2">SUM(L31:N31)</f>
        <v>0</v>
      </c>
      <c r="P31" s="92">
        <f>'Rider Rates'!$D$4</f>
        <v>46022</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46022</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90</v>
      </c>
      <c r="B36" s="72"/>
      <c r="C36" s="72"/>
      <c r="D36" s="111">
        <f>IF($D$17&lt;0,0,$D$17)</f>
        <v>0</v>
      </c>
      <c r="E36" s="97" t="s">
        <v>19</v>
      </c>
      <c r="F36" s="84" t="s">
        <v>80</v>
      </c>
      <c r="G36" s="100"/>
      <c r="H36" s="100"/>
      <c r="I36" s="100">
        <f>'Rider Rates'!$B$15</f>
        <v>0</v>
      </c>
      <c r="J36" s="100">
        <f t="shared" si="0"/>
        <v>0</v>
      </c>
      <c r="K36" s="94" t="s">
        <v>85</v>
      </c>
      <c r="L36" s="89"/>
      <c r="M36" s="89"/>
      <c r="N36" s="89">
        <f t="shared" si="1"/>
        <v>0</v>
      </c>
      <c r="O36" s="89">
        <f t="shared" si="2"/>
        <v>0</v>
      </c>
      <c r="P36" s="92">
        <f>'Rider Rates'!$D$15</f>
        <v>45716</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91</v>
      </c>
      <c r="B37" s="72"/>
      <c r="C37" s="72"/>
      <c r="D37" s="113">
        <f>$N$27</f>
        <v>10</v>
      </c>
      <c r="E37" s="97" t="s">
        <v>92</v>
      </c>
      <c r="F37" s="84" t="s">
        <v>80</v>
      </c>
      <c r="G37" s="100"/>
      <c r="H37" s="100"/>
      <c r="I37" s="114">
        <f>'Rider Rates'!$B$18+'Rider Rates'!$E$18</f>
        <v>0</v>
      </c>
      <c r="J37" s="114">
        <f t="shared" si="0"/>
        <v>0</v>
      </c>
      <c r="K37" s="94"/>
      <c r="L37" s="89"/>
      <c r="M37" s="89"/>
      <c r="N37" s="89">
        <f>ROUND($D$37*'Rider Rates'!$B$18,2)+ROUND($D$37*'Rider Rates'!$E$18,2)</f>
        <v>0</v>
      </c>
      <c r="O37" s="89">
        <f t="shared" si="2"/>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93</v>
      </c>
      <c r="B38" s="72"/>
      <c r="C38" s="72"/>
      <c r="D38" s="111">
        <f>'Customer Info'!$B$22+'Customer Info'!$B$23</f>
        <v>0</v>
      </c>
      <c r="E38" s="97" t="s">
        <v>19</v>
      </c>
      <c r="F38" s="84" t="s">
        <v>80</v>
      </c>
      <c r="G38" s="100">
        <f>'Rider Rates'!B21</f>
        <v>7.6880000000000004E-2</v>
      </c>
      <c r="H38" s="100"/>
      <c r="I38" s="100"/>
      <c r="J38" s="115">
        <f>SUM(G38:H38)</f>
        <v>7.6880000000000004E-2</v>
      </c>
      <c r="K38" s="94" t="s">
        <v>85</v>
      </c>
      <c r="L38" s="89">
        <f>ROUND(D38*G38,2)</f>
        <v>0</v>
      </c>
      <c r="M38" s="89"/>
      <c r="N38" s="89"/>
      <c r="O38" s="89">
        <f t="shared" si="2"/>
        <v>0</v>
      </c>
      <c r="P38" s="92">
        <f>'Rider Rates'!$D$21</f>
        <v>45809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145</v>
      </c>
      <c r="B39" s="72"/>
      <c r="C39" s="72"/>
      <c r="D39" s="111">
        <f>D18</f>
        <v>0</v>
      </c>
      <c r="E39" s="97" t="s">
        <v>19</v>
      </c>
      <c r="F39" s="84" t="s">
        <v>80</v>
      </c>
      <c r="G39" s="100">
        <f>'Rider Rates'!B34</f>
        <v>0.19200049999999999</v>
      </c>
      <c r="H39" s="100"/>
      <c r="I39" s="100"/>
      <c r="J39" s="115">
        <f>SUM(G39:H39)</f>
        <v>0.19200049999999999</v>
      </c>
      <c r="K39" s="94" t="s">
        <v>85</v>
      </c>
      <c r="L39" s="90">
        <f>ROUND($D$39*$G$39,2)</f>
        <v>0</v>
      </c>
      <c r="M39" s="89"/>
      <c r="N39" s="89"/>
      <c r="O39" s="89">
        <f>SUM(L39:N39)</f>
        <v>0</v>
      </c>
      <c r="P39" s="92">
        <f>'Rider Rates'!D34</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146</v>
      </c>
      <c r="B40" s="72"/>
      <c r="C40" s="72"/>
      <c r="D40" s="111">
        <f>D19</f>
        <v>0</v>
      </c>
      <c r="E40" s="97" t="s">
        <v>19</v>
      </c>
      <c r="F40" s="84" t="s">
        <v>80</v>
      </c>
      <c r="G40" s="100">
        <f>'Rider Rates'!B35</f>
        <v>0</v>
      </c>
      <c r="H40" s="100"/>
      <c r="I40" s="100"/>
      <c r="J40" s="115">
        <f>SUM(G40:H40)</f>
        <v>0</v>
      </c>
      <c r="K40" s="94"/>
      <c r="L40" s="90">
        <f>D40*G40</f>
        <v>0</v>
      </c>
      <c r="M40" s="89"/>
      <c r="N40" s="89"/>
      <c r="O40" s="89">
        <f>SUM(L40:N40)</f>
        <v>0</v>
      </c>
      <c r="P40" s="92">
        <f>'Rider Rates'!D35</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f>'Rider Rates'!$B$49</f>
        <v>2.7588999999999999E-3</v>
      </c>
      <c r="H41" s="100"/>
      <c r="I41" s="100"/>
      <c r="J41" s="115">
        <f>SUM(G41:H41)</f>
        <v>2.7588999999999999E-3</v>
      </c>
      <c r="K41" s="94" t="s">
        <v>85</v>
      </c>
      <c r="L41" s="89">
        <f>ROUND(D41*G41,2)</f>
        <v>0</v>
      </c>
      <c r="M41" s="89"/>
      <c r="N41" s="89"/>
      <c r="O41" s="89">
        <f t="shared" si="2"/>
        <v>0</v>
      </c>
      <c r="P41" s="92">
        <f>'Rider Rates'!$D$49</f>
        <v>46022</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3">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IF($D$17&lt;0,0,$D$17)</f>
        <v>0</v>
      </c>
      <c r="E43" s="97" t="s">
        <v>19</v>
      </c>
      <c r="F43" s="84" t="s">
        <v>80</v>
      </c>
      <c r="G43" s="100"/>
      <c r="H43" s="100">
        <f>'Rider Rates'!$B$57</f>
        <v>3.55042E-2</v>
      </c>
      <c r="I43" s="100"/>
      <c r="J43" s="100">
        <f t="shared" si="3"/>
        <v>3.55042E-2</v>
      </c>
      <c r="K43" s="94" t="s">
        <v>85</v>
      </c>
      <c r="L43" s="89"/>
      <c r="M43" s="89">
        <f>ROUND(D43*H43,2)</f>
        <v>0</v>
      </c>
      <c r="N43" s="116"/>
      <c r="O43" s="89">
        <f t="shared" si="2"/>
        <v>0</v>
      </c>
      <c r="P43" s="92">
        <f>'Rider Rates'!$D$57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IF($D$17&lt;0,0,$D$17)</f>
        <v>0</v>
      </c>
      <c r="E44" s="97" t="s">
        <v>19</v>
      </c>
      <c r="F44" s="84" t="s">
        <v>80</v>
      </c>
      <c r="G44" s="100"/>
      <c r="H44" s="100"/>
      <c r="I44" s="100">
        <f>'Rider Rates'!$B$68</f>
        <v>7.3870000000000001E-4</v>
      </c>
      <c r="J44" s="100">
        <f t="shared" ref="J44" si="4">SUM(G44:I44)</f>
        <v>7.3870000000000001E-4</v>
      </c>
      <c r="K44" s="94" t="s">
        <v>85</v>
      </c>
      <c r="L44" s="89"/>
      <c r="M44" s="89"/>
      <c r="N44" s="89">
        <f>ROUND($D$44*'Rider Rates'!$B$68,2)</f>
        <v>0</v>
      </c>
      <c r="O44" s="91">
        <f t="shared" ref="O44" si="5">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Info'!C35=TRUE,0,IF($D$17&lt;0,0,$D$17))</f>
        <v>0</v>
      </c>
      <c r="E45" s="97" t="s">
        <v>19</v>
      </c>
      <c r="F45" s="84" t="s">
        <v>80</v>
      </c>
      <c r="G45" s="100"/>
      <c r="H45" s="100"/>
      <c r="I45" s="100">
        <f>'Rider Rates'!$B$71+'Rider Rates'!$C$71</f>
        <v>0</v>
      </c>
      <c r="J45" s="100">
        <f t="shared" si="3"/>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$N$27</f>
        <v>10</v>
      </c>
      <c r="E46" s="97" t="s">
        <v>92</v>
      </c>
      <c r="F46" s="84" t="s">
        <v>80</v>
      </c>
      <c r="G46" s="117"/>
      <c r="H46" s="118"/>
      <c r="I46" s="119">
        <f>'Rider Rates'!$B$87</f>
        <v>3.5344300000000002E-2</v>
      </c>
      <c r="J46" s="119">
        <f t="shared" si="3"/>
        <v>3.5344300000000002E-2</v>
      </c>
      <c r="K46" s="94"/>
      <c r="L46" s="89"/>
      <c r="M46" s="89"/>
      <c r="N46" s="89">
        <f>ROUND(D46*I46,2)</f>
        <v>0.35</v>
      </c>
      <c r="O46" s="89">
        <f t="shared" si="2"/>
        <v>0.35</v>
      </c>
      <c r="P46" s="92">
        <f>'Rider Rates'!$D$87</f>
        <v>45929</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$N$27</f>
        <v>10</v>
      </c>
      <c r="E47" s="97" t="s">
        <v>92</v>
      </c>
      <c r="F47" s="84" t="s">
        <v>80</v>
      </c>
      <c r="G47" s="120"/>
      <c r="H47" s="85"/>
      <c r="I47" s="119">
        <f>'Rider Rates'!$B$89</f>
        <v>7.8822199999999995E-2</v>
      </c>
      <c r="J47" s="119">
        <f t="shared" si="3"/>
        <v>7.8822199999999995E-2</v>
      </c>
      <c r="K47" s="94"/>
      <c r="L47" s="89"/>
      <c r="M47" s="89"/>
      <c r="N47" s="89">
        <f>ROUND(D47*I47,2)</f>
        <v>0.79</v>
      </c>
      <c r="O47" s="89">
        <f t="shared" si="2"/>
        <v>0.79</v>
      </c>
      <c r="P47" s="92">
        <f>'Rider Rates'!$D$89</f>
        <v>45987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2.62</v>
      </c>
      <c r="J48" s="121">
        <f t="shared" si="3"/>
        <v>2.62</v>
      </c>
      <c r="K48" s="94"/>
      <c r="L48" s="89"/>
      <c r="M48" s="89"/>
      <c r="N48" s="89">
        <f>I48</f>
        <v>2.62</v>
      </c>
      <c r="O48" s="91">
        <f>SUM(L48:N48)</f>
        <v>2.62</v>
      </c>
      <c r="P48" s="92">
        <f>'Rider Rates'!$D$92</f>
        <v>46022</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$N$27</f>
        <v>10</v>
      </c>
      <c r="E50" s="97" t="s">
        <v>92</v>
      </c>
      <c r="F50" s="84" t="s">
        <v>80</v>
      </c>
      <c r="G50" s="120"/>
      <c r="H50" s="85"/>
      <c r="I50" s="119">
        <f>'Rider Rates'!$B$107</f>
        <v>0.24079249999999999</v>
      </c>
      <c r="J50" s="122">
        <f>SUM(G50:I50)</f>
        <v>0.24079249999999999</v>
      </c>
      <c r="K50" s="94"/>
      <c r="L50" s="89"/>
      <c r="M50" s="89"/>
      <c r="N50" s="89">
        <f>ROUND(D50*I50,2)</f>
        <v>2.41</v>
      </c>
      <c r="O50" s="89">
        <f t="shared" si="2"/>
        <v>2.41</v>
      </c>
      <c r="P50" s="92">
        <f>'Rider Rates'!$D$107</f>
        <v>45987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0.2</v>
      </c>
      <c r="J51" s="124">
        <f>SUM(G51:I51)</f>
        <v>0.2</v>
      </c>
      <c r="K51" s="94"/>
      <c r="L51" s="89"/>
      <c r="M51" s="89"/>
      <c r="N51" s="125">
        <f>I51</f>
        <v>0.2</v>
      </c>
      <c r="O51" s="89">
        <f>SUM(L51:N51)</f>
        <v>0.2</v>
      </c>
      <c r="P51" s="92">
        <f>'Rider Rates'!D122</f>
        <v>45958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SUM(L31:L57)</f>
        <v>0</v>
      </c>
      <c r="M58" s="105">
        <f>SUM(M31:M57)</f>
        <v>0</v>
      </c>
      <c r="N58" s="105">
        <f>SUM(N31:N57)</f>
        <v>6.37</v>
      </c>
      <c r="O58" s="105">
        <f>SUM(O31:O57)</f>
        <v>6.37</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L27+L58</f>
        <v>0</v>
      </c>
      <c r="M60" s="139">
        <f>M27+M58</f>
        <v>0</v>
      </c>
      <c r="N60" s="139">
        <f>N27+N58</f>
        <v>16.37</v>
      </c>
      <c r="O60" s="140">
        <f>O27+O58</f>
        <v>16.37</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16.37</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1"/>
    </row>
    <row r="80" spans="1:23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row r="89" spans="1:1" x14ac:dyDescent="0.2">
      <c r="A89" s="431"/>
    </row>
    <row r="90" spans="1:1" x14ac:dyDescent="0.2">
      <c r="A90" s="431"/>
    </row>
    <row r="91" spans="1:1" x14ac:dyDescent="0.2">
      <c r="A91" s="431"/>
    </row>
    <row r="92" spans="1:1" x14ac:dyDescent="0.2">
      <c r="A92" s="431"/>
    </row>
    <row r="93" spans="1:1" x14ac:dyDescent="0.2">
      <c r="A93" s="431"/>
    </row>
  </sheetData>
  <sheetProtection algorithmName="SHA-512" hashValue="wkQ7pwK2wzWxHXqU00kHR4ASHprPlTym/ljROdZ97l1A3bnGy/PflQ3/gPct84uM6dA51ycCwIFHrSHlOLz2BA==" saltValue="RxrkX7nTHElT8gq9lPaeT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5122" r:id="rId5" name="Button 2">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C184D-BBA0-450B-A52F-A1A3663DB07E}">
  <dimension ref="A1:IB93"/>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2" t="s">
        <v>50</v>
      </c>
      <c r="B1" s="432"/>
      <c r="C1" s="432"/>
      <c r="D1" s="432"/>
      <c r="E1" s="432"/>
      <c r="F1" s="432"/>
      <c r="G1" s="432"/>
      <c r="H1" s="432"/>
      <c r="I1" s="432"/>
      <c r="J1" s="432"/>
      <c r="K1" s="432"/>
      <c r="L1" s="432"/>
      <c r="M1" s="432"/>
      <c r="N1" s="432"/>
      <c r="O1" s="432"/>
      <c r="P1" s="432"/>
      <c r="Q1" s="52"/>
    </row>
    <row r="2" spans="1:59" ht="20.25" x14ac:dyDescent="0.3">
      <c r="A2" s="432" t="s">
        <v>138</v>
      </c>
      <c r="B2" s="432"/>
      <c r="C2" s="432"/>
      <c r="D2" s="432"/>
      <c r="E2" s="432"/>
      <c r="F2" s="432"/>
      <c r="G2" s="432"/>
      <c r="H2" s="432"/>
      <c r="I2" s="432"/>
      <c r="J2" s="432"/>
      <c r="K2" s="432"/>
      <c r="L2" s="432"/>
      <c r="M2" s="432"/>
      <c r="N2" s="432"/>
      <c r="O2" s="432"/>
      <c r="P2" s="432"/>
    </row>
    <row r="3" spans="1:59" ht="18" x14ac:dyDescent="0.25">
      <c r="A3" s="449" t="s">
        <v>147</v>
      </c>
      <c r="B3" s="449"/>
      <c r="C3" s="449"/>
      <c r="D3" s="449"/>
      <c r="E3" s="449"/>
      <c r="F3" s="449"/>
      <c r="G3" s="449"/>
      <c r="H3" s="449"/>
      <c r="I3" s="449"/>
      <c r="J3" s="449"/>
      <c r="K3" s="449"/>
      <c r="L3" s="449"/>
      <c r="M3" s="449"/>
      <c r="N3" s="449"/>
      <c r="O3" s="449"/>
      <c r="P3" s="449"/>
      <c r="Q3" s="53"/>
    </row>
    <row r="4" spans="1:59"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46051</v>
      </c>
      <c r="B6" s="435" t="s">
        <v>148</v>
      </c>
      <c r="C6" s="435"/>
      <c r="D6" s="435"/>
      <c r="E6" s="435"/>
      <c r="F6" s="435"/>
      <c r="G6" s="435"/>
      <c r="H6" s="435"/>
      <c r="I6" s="435"/>
      <c r="J6" s="435"/>
      <c r="K6" s="435"/>
      <c r="L6" s="435"/>
      <c r="M6" s="435"/>
      <c r="N6" s="435"/>
      <c r="O6" s="435"/>
    </row>
    <row r="7" spans="1:59" x14ac:dyDescent="0.2">
      <c r="A7" s="436" t="s">
        <v>2</v>
      </c>
      <c r="B7" s="436"/>
      <c r="C7" s="436"/>
      <c r="D7" s="436"/>
      <c r="E7" s="436"/>
      <c r="F7" s="436"/>
      <c r="G7" s="436"/>
      <c r="H7" s="436"/>
      <c r="I7" s="436"/>
      <c r="J7" s="436"/>
      <c r="K7" s="436"/>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2</v>
      </c>
      <c r="C11" s="63" t="str">
        <f>LOOKUP($B$11,$S$11:$AD$11,S12:AD12)</f>
        <v>February</v>
      </c>
      <c r="D11" s="64">
        <f>'Customer Info'!C9</f>
        <v>2026</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7" t="s">
        <v>71</v>
      </c>
      <c r="H23" s="438"/>
      <c r="I23" s="438"/>
      <c r="J23" s="439"/>
      <c r="K23" s="83"/>
      <c r="L23" s="440" t="s">
        <v>72</v>
      </c>
      <c r="M23" s="441"/>
      <c r="N23" s="441"/>
      <c r="O23" s="442"/>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IF($D$19&lt;0,0,IF($D$19&gt;833000,833000,$D$19))</f>
        <v>0</v>
      </c>
      <c r="E32" s="97" t="s">
        <v>19</v>
      </c>
      <c r="F32" s="84" t="s">
        <v>80</v>
      </c>
      <c r="G32" s="100"/>
      <c r="H32" s="100"/>
      <c r="I32" s="100">
        <f>'Rider Rates'!$B$4</f>
        <v>5.5215000000000004E-3</v>
      </c>
      <c r="J32" s="100">
        <f t="shared" ref="J32:J38" si="1">SUM(G32:I32)</f>
        <v>5.5215000000000004E-3</v>
      </c>
      <c r="K32" s="94" t="s">
        <v>85</v>
      </c>
      <c r="L32" s="89"/>
      <c r="M32" s="89"/>
      <c r="N32" s="89">
        <f t="shared" ref="N32:N37" si="2">ROUND(D32*I32,2)</f>
        <v>0</v>
      </c>
      <c r="O32" s="91">
        <f t="shared" ref="O32:O53" si="3">SUM(L32:N32)</f>
        <v>0</v>
      </c>
      <c r="P32" s="92">
        <f>'Rider Rates'!$D$4</f>
        <v>46022</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46022</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IF($D$19&lt;0,0,$D$19)</f>
        <v>0</v>
      </c>
      <c r="E37" s="97" t="s">
        <v>19</v>
      </c>
      <c r="F37" s="84" t="s">
        <v>80</v>
      </c>
      <c r="G37" s="100"/>
      <c r="H37" s="100"/>
      <c r="I37" s="100">
        <f>'Rider Rates'!$B$15</f>
        <v>0</v>
      </c>
      <c r="J37" s="100">
        <f t="shared" si="1"/>
        <v>0</v>
      </c>
      <c r="K37" s="94" t="s">
        <v>85</v>
      </c>
      <c r="L37" s="89"/>
      <c r="M37" s="89"/>
      <c r="N37" s="89">
        <f t="shared" si="2"/>
        <v>0</v>
      </c>
      <c r="O37" s="89">
        <f t="shared" si="3"/>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f>
        <v>0</v>
      </c>
      <c r="E39" s="97" t="s">
        <v>19</v>
      </c>
      <c r="F39" s="84" t="s">
        <v>80</v>
      </c>
      <c r="G39" s="100">
        <f>'Rider Rates'!B21</f>
        <v>7.6880000000000004E-2</v>
      </c>
      <c r="H39" s="100"/>
      <c r="I39" s="100"/>
      <c r="J39" s="115">
        <f>SUM(G39:H39)</f>
        <v>7.6880000000000004E-2</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f>
        <v>0</v>
      </c>
      <c r="E40" s="97" t="s">
        <v>19</v>
      </c>
      <c r="F40" s="84" t="s">
        <v>80</v>
      </c>
      <c r="G40" s="100">
        <f>'Rider Rates'!B28</f>
        <v>2.298E-2</v>
      </c>
      <c r="H40" s="100"/>
      <c r="I40" s="100"/>
      <c r="J40" s="115">
        <f>SUM(G40:H40)</f>
        <v>2.298E-2</v>
      </c>
      <c r="K40" s="94" t="s">
        <v>85</v>
      </c>
      <c r="L40" s="90">
        <f>ROUND($D$40*$G$40,2)</f>
        <v>0</v>
      </c>
      <c r="M40" s="89"/>
      <c r="N40" s="89"/>
      <c r="O40" s="89">
        <f>SUM(L40:N40)</f>
        <v>0</v>
      </c>
      <c r="P40" s="92">
        <f>'Rider Rates'!D34</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f>'Rider Rates'!$B$49</f>
        <v>2.7588999999999999E-3</v>
      </c>
      <c r="H41" s="100"/>
      <c r="I41" s="100"/>
      <c r="J41" s="115">
        <f>SUM(G41:H41)</f>
        <v>2.7588999999999999E-3</v>
      </c>
      <c r="K41" s="94" t="s">
        <v>85</v>
      </c>
      <c r="L41" s="89">
        <f>ROUND(D41*G41,2)</f>
        <v>0</v>
      </c>
      <c r="M41" s="89"/>
      <c r="N41" s="89"/>
      <c r="O41" s="89">
        <f t="shared" si="3"/>
        <v>0</v>
      </c>
      <c r="P41" s="92">
        <f>'Rider Rates'!$D$49</f>
        <v>46022</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IF($D$19&lt;0,0,$D$19)</f>
        <v>0</v>
      </c>
      <c r="E43" s="97" t="s">
        <v>19</v>
      </c>
      <c r="F43" s="84" t="s">
        <v>80</v>
      </c>
      <c r="G43" s="100"/>
      <c r="H43" s="100">
        <f>'Rider Rates'!$B$57</f>
        <v>3.55042E-2</v>
      </c>
      <c r="I43" s="100"/>
      <c r="J43" s="100">
        <f t="shared" si="4"/>
        <v>3.55042E-2</v>
      </c>
      <c r="K43" s="94" t="s">
        <v>85</v>
      </c>
      <c r="L43" s="89"/>
      <c r="M43" s="89">
        <f>ROUND(D43*H43,2)</f>
        <v>0</v>
      </c>
      <c r="N43" s="116"/>
      <c r="O43" s="89">
        <f t="shared" si="3"/>
        <v>0</v>
      </c>
      <c r="P43" s="92">
        <f>'Rider Rates'!$D$57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IF($D$19&lt;0,0,$D$19)</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3.5344300000000002E-2</v>
      </c>
      <c r="J46" s="119">
        <f t="shared" si="4"/>
        <v>3.5344300000000002E-2</v>
      </c>
      <c r="K46" s="94"/>
      <c r="L46" s="89"/>
      <c r="M46" s="89"/>
      <c r="N46" s="89">
        <f>ROUND(D46*I46,2)</f>
        <v>0.35</v>
      </c>
      <c r="O46" s="89">
        <f t="shared" si="3"/>
        <v>0.35</v>
      </c>
      <c r="P46" s="92">
        <f>'Rider Rates'!$D$87</f>
        <v>45929</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7.8822199999999995E-2</v>
      </c>
      <c r="J47" s="119">
        <f t="shared" si="4"/>
        <v>7.8822199999999995E-2</v>
      </c>
      <c r="K47" s="94"/>
      <c r="L47" s="89"/>
      <c r="M47" s="89"/>
      <c r="N47" s="89">
        <f>ROUND(D47*I47,2)</f>
        <v>0.79</v>
      </c>
      <c r="O47" s="89">
        <f t="shared" si="3"/>
        <v>0.79</v>
      </c>
      <c r="P47" s="92">
        <f>'Rider Rates'!$D$89</f>
        <v>45987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2.62</v>
      </c>
      <c r="J48" s="121">
        <f t="shared" si="4"/>
        <v>2.62</v>
      </c>
      <c r="K48" s="94"/>
      <c r="L48" s="89"/>
      <c r="M48" s="89"/>
      <c r="N48" s="89">
        <f>I48</f>
        <v>2.62</v>
      </c>
      <c r="O48" s="91">
        <f>SUM(L48:N48)</f>
        <v>2.62</v>
      </c>
      <c r="P48" s="92">
        <f>'Rider Rates'!$D$92</f>
        <v>46022</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0.24079249999999999</v>
      </c>
      <c r="J50" s="122">
        <f>SUM(G50:I50)</f>
        <v>0.24079249999999999</v>
      </c>
      <c r="K50" s="94"/>
      <c r="L50" s="89"/>
      <c r="M50" s="89"/>
      <c r="N50" s="89">
        <f>ROUND(D50*I50,2)</f>
        <v>2.41</v>
      </c>
      <c r="O50" s="89">
        <f t="shared" si="3"/>
        <v>2.41</v>
      </c>
      <c r="P50" s="92">
        <f>'Rider Rates'!$D$107</f>
        <v>45987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0.2</v>
      </c>
      <c r="J51" s="124">
        <f>SUM(G51:I51)</f>
        <v>0.2</v>
      </c>
      <c r="K51" s="94"/>
      <c r="L51" s="89"/>
      <c r="M51" s="89"/>
      <c r="N51" s="125">
        <f>I51</f>
        <v>0.2</v>
      </c>
      <c r="O51" s="89">
        <f>SUM(L51:N51)</f>
        <v>0.2</v>
      </c>
      <c r="P51" s="92">
        <f>'Rider Rates'!D122</f>
        <v>45958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6.37</v>
      </c>
      <c r="O58" s="105">
        <f>SUM(O32:O57)</f>
        <v>6.37</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16.37</v>
      </c>
      <c r="O60" s="140">
        <f>O28+O58</f>
        <v>16.37</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16.37</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1"/>
    </row>
    <row r="80" spans="1:23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row r="89" spans="1:1" x14ac:dyDescent="0.2">
      <c r="A89" s="431"/>
    </row>
    <row r="90" spans="1:1" x14ac:dyDescent="0.2">
      <c r="A90" s="431"/>
    </row>
    <row r="91" spans="1:1" x14ac:dyDescent="0.2">
      <c r="A91" s="431"/>
    </row>
    <row r="92" spans="1:1" x14ac:dyDescent="0.2">
      <c r="A92" s="431"/>
    </row>
    <row r="93" spans="1:1" x14ac:dyDescent="0.2">
      <c r="A93" s="431"/>
    </row>
  </sheetData>
  <sheetProtection algorithmName="SHA-512" hashValue="UWPSwmC7W4WmtcAJh+V7+s0llA1lwRy8iEoM/3i2tjhKXDE4NdefXQ+dU+48YmowdHIqhQlcvR2jf+7jo6JK5A==" saltValue="dFlFBCrMDUIBz4WyJ0cnf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146"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6147"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6148" r:id="rId7" name="Button 4">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75FFD-508F-4565-9C36-DAE3DD7A5E22}">
  <dimension ref="A1:HM69"/>
  <sheetViews>
    <sheetView showGridLines="0"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448" t="s">
        <v>50</v>
      </c>
      <c r="B1" s="448"/>
      <c r="C1" s="448"/>
      <c r="D1" s="448"/>
      <c r="E1" s="448"/>
      <c r="F1" s="448"/>
      <c r="G1" s="448"/>
      <c r="H1" s="448"/>
      <c r="I1" s="448"/>
      <c r="J1" s="448"/>
      <c r="K1" s="448"/>
      <c r="L1" s="448"/>
      <c r="M1" s="448"/>
      <c r="N1" s="448"/>
      <c r="O1" s="448"/>
      <c r="P1" s="448"/>
    </row>
    <row r="2" spans="1:30" ht="20.25" x14ac:dyDescent="0.3">
      <c r="A2" s="432" t="s">
        <v>138</v>
      </c>
      <c r="B2" s="432"/>
      <c r="C2" s="432"/>
      <c r="D2" s="432"/>
      <c r="E2" s="432"/>
      <c r="F2" s="432"/>
      <c r="G2" s="432"/>
      <c r="H2" s="432"/>
      <c r="I2" s="432"/>
      <c r="J2" s="432"/>
      <c r="K2" s="432"/>
      <c r="L2" s="432"/>
      <c r="M2" s="432"/>
      <c r="N2" s="432"/>
      <c r="O2" s="432"/>
      <c r="P2" s="432"/>
    </row>
    <row r="3" spans="1:30" ht="18" x14ac:dyDescent="0.25">
      <c r="A3" s="449" t="s">
        <v>151</v>
      </c>
      <c r="B3" s="449"/>
      <c r="C3" s="449"/>
      <c r="D3" s="449"/>
      <c r="E3" s="449"/>
      <c r="F3" s="449"/>
      <c r="G3" s="449"/>
      <c r="H3" s="449"/>
      <c r="I3" s="449"/>
      <c r="J3" s="449"/>
      <c r="K3" s="449"/>
      <c r="L3" s="449"/>
      <c r="M3" s="449"/>
      <c r="N3" s="449"/>
      <c r="O3" s="449"/>
      <c r="P3" s="449"/>
    </row>
    <row r="4" spans="1:30"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row>
    <row r="5" spans="1:30" ht="15" x14ac:dyDescent="0.2">
      <c r="A5" s="55"/>
      <c r="B5" s="55"/>
      <c r="C5" s="55"/>
      <c r="D5" s="55"/>
      <c r="E5" s="55"/>
      <c r="F5" s="55"/>
      <c r="G5" s="55"/>
      <c r="H5" s="55"/>
      <c r="I5" s="55"/>
      <c r="J5" s="55"/>
      <c r="K5" s="55"/>
      <c r="L5" s="55"/>
      <c r="M5" s="55"/>
      <c r="N5" s="55"/>
      <c r="O5" s="55"/>
      <c r="P5" s="55"/>
    </row>
    <row r="6" spans="1:30" x14ac:dyDescent="0.2">
      <c r="A6" s="56">
        <f ca="1">TODAY()</f>
        <v>46051</v>
      </c>
      <c r="B6" s="180" t="s">
        <v>152</v>
      </c>
      <c r="C6" s="180"/>
      <c r="D6" s="180"/>
      <c r="E6" s="180"/>
      <c r="F6" s="180"/>
      <c r="G6" s="180"/>
      <c r="H6" s="180"/>
      <c r="I6" s="180"/>
      <c r="J6" s="180"/>
      <c r="K6" s="180"/>
      <c r="L6" s="180"/>
      <c r="M6" s="180"/>
      <c r="N6" s="180"/>
      <c r="O6" s="180"/>
    </row>
    <row r="7" spans="1:30" x14ac:dyDescent="0.2">
      <c r="A7" s="436" t="s">
        <v>2</v>
      </c>
      <c r="B7" s="436"/>
      <c r="C7" s="436"/>
      <c r="D7" s="436"/>
      <c r="E7" s="436"/>
      <c r="F7" s="436"/>
      <c r="G7" s="436"/>
      <c r="H7" s="436"/>
      <c r="I7" s="436"/>
      <c r="J7" s="436"/>
      <c r="K7" s="436"/>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2</v>
      </c>
      <c r="C11" s="63" t="str">
        <f>LOOKUP(B11,R11:AD11,R12:AD12)</f>
        <v>February</v>
      </c>
      <c r="D11" s="64">
        <f>'Customer Info'!C9</f>
        <v>2026</v>
      </c>
      <c r="S11">
        <v>1</v>
      </c>
      <c r="T11">
        <v>2</v>
      </c>
      <c r="U11">
        <v>3</v>
      </c>
      <c r="V11">
        <v>4</v>
      </c>
      <c r="W11">
        <v>5</v>
      </c>
      <c r="X11">
        <v>6</v>
      </c>
      <c r="Y11">
        <v>7</v>
      </c>
      <c r="Z11">
        <v>8</v>
      </c>
      <c r="AA11">
        <v>9</v>
      </c>
      <c r="AB11">
        <v>10</v>
      </c>
      <c r="AC11">
        <v>11</v>
      </c>
      <c r="AD11">
        <v>12</v>
      </c>
    </row>
    <row r="12" spans="1:30" x14ac:dyDescent="0.2">
      <c r="A12" s="443"/>
      <c r="B12" s="443"/>
      <c r="C12" s="443"/>
      <c r="D12" s="443"/>
      <c r="E12" s="443"/>
      <c r="F12" s="443"/>
      <c r="G12" s="443"/>
      <c r="H12" s="443"/>
      <c r="I12" s="443"/>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55" t="s">
        <v>68</v>
      </c>
      <c r="R13" s="72" t="s">
        <v>153</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R14" s="72" t="s">
        <v>154</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134</v>
      </c>
      <c r="B15" s="158"/>
      <c r="C15" s="159">
        <f>IF('Customer Info'!B22+'Customer Info'!B23-'Customer Info'!B24&lt;0,0,'Customer Info'!B22+'Customer Info'!B23-'Customer Info'!B24)</f>
        <v>0</v>
      </c>
      <c r="D15" s="158" t="s">
        <v>19</v>
      </c>
      <c r="E15" s="158"/>
      <c r="F15" s="160"/>
      <c r="G15" s="158"/>
      <c r="H15" s="158"/>
      <c r="I15" s="158"/>
      <c r="R15" s="44" t="s">
        <v>142</v>
      </c>
      <c r="S15">
        <f>'Rider Rates'!$C$21</f>
        <v>7.6880000000000004E-2</v>
      </c>
      <c r="T15">
        <f>'Rider Rates'!$C$21</f>
        <v>7.6880000000000004E-2</v>
      </c>
      <c r="U15">
        <f>'Rider Rates'!$C$21</f>
        <v>7.6880000000000004E-2</v>
      </c>
      <c r="V15">
        <f>'Rider Rates'!$C$21</f>
        <v>7.6880000000000004E-2</v>
      </c>
      <c r="W15">
        <f>'Rider Rates'!$C$21</f>
        <v>7.6880000000000004E-2</v>
      </c>
      <c r="X15">
        <f>'Rider Rates'!$B$21</f>
        <v>7.6880000000000004E-2</v>
      </c>
      <c r="Y15">
        <f>'Rider Rates'!$B$21</f>
        <v>7.6880000000000004E-2</v>
      </c>
      <c r="Z15">
        <f>'Rider Rates'!$B$21</f>
        <v>7.6880000000000004E-2</v>
      </c>
      <c r="AA15">
        <f>'Rider Rates'!$B$21</f>
        <v>7.6880000000000004E-2</v>
      </c>
      <c r="AB15">
        <f>'Rider Rates'!$C$21</f>
        <v>7.6880000000000004E-2</v>
      </c>
      <c r="AC15">
        <f>'Rider Rates'!$C$21</f>
        <v>7.6880000000000004E-2</v>
      </c>
      <c r="AD15">
        <f>'Rider Rates'!$C$21</f>
        <v>7.6880000000000004E-2</v>
      </c>
    </row>
    <row r="16" spans="1:30" x14ac:dyDescent="0.2">
      <c r="A16" s="158"/>
      <c r="B16" s="158"/>
      <c r="C16" s="160"/>
      <c r="D16" s="160"/>
      <c r="E16" s="160"/>
      <c r="F16" s="160"/>
      <c r="G16" s="57"/>
      <c r="H16" s="158"/>
      <c r="I16" s="158"/>
    </row>
    <row r="17" spans="1:221" x14ac:dyDescent="0.2">
      <c r="A17" s="162" t="s">
        <v>125</v>
      </c>
      <c r="B17" s="163"/>
      <c r="C17" s="163"/>
      <c r="D17" s="163"/>
      <c r="E17" s="163"/>
      <c r="F17" s="163"/>
      <c r="G17" s="444" t="s">
        <v>71</v>
      </c>
      <c r="H17" s="445"/>
      <c r="I17" s="445"/>
      <c r="J17" s="446"/>
      <c r="K17" s="163"/>
      <c r="L17" s="447" t="s">
        <v>72</v>
      </c>
      <c r="M17" s="447"/>
      <c r="N17" s="447"/>
      <c r="O17" s="447"/>
    </row>
    <row r="18" spans="1:221" x14ac:dyDescent="0.2">
      <c r="G18" s="164" t="s">
        <v>73</v>
      </c>
      <c r="H18" s="164" t="s">
        <v>74</v>
      </c>
      <c r="I18" s="164" t="s">
        <v>75</v>
      </c>
      <c r="J18" s="118" t="s">
        <v>76</v>
      </c>
      <c r="L18" s="165" t="s">
        <v>73</v>
      </c>
      <c r="M18" s="165" t="s">
        <v>74</v>
      </c>
      <c r="N18" s="165" t="s">
        <v>75</v>
      </c>
      <c r="O18" s="165" t="s">
        <v>76</v>
      </c>
      <c r="P18" s="166" t="s">
        <v>77</v>
      </c>
    </row>
    <row r="19" spans="1:221" x14ac:dyDescent="0.2">
      <c r="A19" t="s">
        <v>78</v>
      </c>
      <c r="G19" s="167"/>
      <c r="H19" s="167"/>
      <c r="I19" s="168">
        <v>10</v>
      </c>
      <c r="J19" s="168">
        <f>SUM(G19:I19)</f>
        <v>10</v>
      </c>
      <c r="L19" s="168"/>
      <c r="M19" s="168"/>
      <c r="N19" s="168">
        <f>I19</f>
        <v>10</v>
      </c>
      <c r="O19" s="168">
        <f>+SUM(L19:N19)</f>
        <v>10</v>
      </c>
      <c r="P19" s="92">
        <v>44531</v>
      </c>
    </row>
    <row r="20" spans="1:221" x14ac:dyDescent="0.2">
      <c r="A20" t="s">
        <v>155</v>
      </c>
      <c r="D20" s="4">
        <f>C15</f>
        <v>0</v>
      </c>
      <c r="E20" s="152" t="s">
        <v>19</v>
      </c>
      <c r="F20" s="1" t="s">
        <v>80</v>
      </c>
      <c r="G20" s="99"/>
      <c r="H20" s="181"/>
      <c r="I20" s="99">
        <v>2.6312499999999999E-2</v>
      </c>
      <c r="J20" s="181">
        <f>SUM(G20:I20)</f>
        <v>2.6312499999999999E-2</v>
      </c>
      <c r="K20" s="154" t="s">
        <v>85</v>
      </c>
      <c r="L20" s="182"/>
      <c r="M20" s="182"/>
      <c r="N20" s="182">
        <f>ROUND($D20*I20,2)</f>
        <v>0</v>
      </c>
      <c r="O20" s="168">
        <f>+SUM(L20:N20)</f>
        <v>0</v>
      </c>
      <c r="P20" s="92">
        <v>44531</v>
      </c>
    </row>
    <row r="21" spans="1:221" x14ac:dyDescent="0.2">
      <c r="A21" s="153" t="s">
        <v>129</v>
      </c>
      <c r="B21" s="144"/>
      <c r="C21" s="144"/>
      <c r="D21" s="170"/>
      <c r="E21" s="170"/>
      <c r="F21" s="144"/>
      <c r="G21" s="144"/>
      <c r="I21" s="171"/>
      <c r="K21" s="172"/>
      <c r="L21" s="173"/>
      <c r="M21" s="174"/>
      <c r="N21" s="173">
        <f>SUM(N17:N20)</f>
        <v>10</v>
      </c>
      <c r="O21" s="173">
        <f>SUM(O19:O20)</f>
        <v>10</v>
      </c>
      <c r="R21" s="93"/>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72"/>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IF($C$15&lt;0,0,IF($C$15&gt;833000,833000,$C$15))</f>
        <v>0</v>
      </c>
      <c r="E25" s="97" t="s">
        <v>19</v>
      </c>
      <c r="F25" s="84" t="s">
        <v>80</v>
      </c>
      <c r="G25" s="100"/>
      <c r="H25" s="100"/>
      <c r="I25" s="100">
        <f>'Rider Rates'!$B$4</f>
        <v>5.5215000000000004E-3</v>
      </c>
      <c r="J25" s="175">
        <f t="shared" ref="J25:J45" si="0">SUM(G25:I25)</f>
        <v>5.5215000000000004E-3</v>
      </c>
      <c r="K25" s="94" t="s">
        <v>85</v>
      </c>
      <c r="L25" s="89"/>
      <c r="M25" s="89"/>
      <c r="N25" s="89">
        <f t="shared" ref="N25:N30" si="1">ROUND(D25*I25,2)</f>
        <v>0</v>
      </c>
      <c r="O25" s="89">
        <f t="shared" ref="O25:O46" si="2">SUM(L25:N25)</f>
        <v>0</v>
      </c>
      <c r="P25" s="92">
        <f>'Rider Rates'!$D$4</f>
        <v>46022</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46022</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IF($C$15&lt;0,0,IF($C$15&gt;2000,2000,$C$15))</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IF($C$15&lt;=2000,0,IF($C$15=0,0,IF($C$15-2000&gt;13000,13000,$C$15-2000)))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IF($C$15=0,0,IF($C$15-15000&gt;=0,$C$15-15000,0))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90</v>
      </c>
      <c r="B30" s="72"/>
      <c r="C30" s="72"/>
      <c r="D30" s="111">
        <f>IF($C$15&lt;0,0,$C$15)</f>
        <v>0</v>
      </c>
      <c r="E30" s="97" t="s">
        <v>19</v>
      </c>
      <c r="F30" s="84" t="s">
        <v>80</v>
      </c>
      <c r="G30" s="100"/>
      <c r="H30" s="100"/>
      <c r="I30" s="100">
        <f>'Rider Rates'!$B$15</f>
        <v>0</v>
      </c>
      <c r="J30" s="100">
        <f>SUM(G30:I30)</f>
        <v>0</v>
      </c>
      <c r="K30" s="94" t="s">
        <v>85</v>
      </c>
      <c r="L30" s="89"/>
      <c r="M30" s="89"/>
      <c r="N30" s="89">
        <f t="shared" si="1"/>
        <v>0</v>
      </c>
      <c r="O30" s="89">
        <f t="shared" ref="O30:O37" si="3">SUM(L30:N30)</f>
        <v>0</v>
      </c>
      <c r="P30" s="92">
        <f>'Rider Rates'!$D$15</f>
        <v>45716</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91</v>
      </c>
      <c r="B31" s="72"/>
      <c r="C31" s="72"/>
      <c r="D31" s="113">
        <f>$N$21</f>
        <v>10</v>
      </c>
      <c r="E31" s="97" t="s">
        <v>92</v>
      </c>
      <c r="F31" s="84" t="s">
        <v>80</v>
      </c>
      <c r="G31" s="100"/>
      <c r="H31" s="100"/>
      <c r="I31" s="114">
        <f>'Rider Rates'!$B$18+'Rider Rates'!$E$18</f>
        <v>0</v>
      </c>
      <c r="J31" s="114">
        <f>SUM(G31:I31)</f>
        <v>0</v>
      </c>
      <c r="K31" s="94"/>
      <c r="L31" s="89"/>
      <c r="M31" s="89"/>
      <c r="N31" s="89">
        <f>ROUND($D$31*'Rider Rates'!$B$18,2)+ROUND($D$31*'Rider Rates'!$E$18,2)</f>
        <v>0</v>
      </c>
      <c r="O31" s="89">
        <f t="shared" si="3"/>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93</v>
      </c>
      <c r="B32" s="72"/>
      <c r="C32" s="72"/>
      <c r="D32" s="111">
        <f>'Customer Info'!$B$22+'Customer Info'!$B$23</f>
        <v>0</v>
      </c>
      <c r="E32" s="97" t="s">
        <v>19</v>
      </c>
      <c r="F32" s="84" t="s">
        <v>80</v>
      </c>
      <c r="G32" s="100">
        <f>'Rider Rates'!B22</f>
        <v>7.6880000000000004E-2</v>
      </c>
      <c r="H32" s="100"/>
      <c r="I32" s="100"/>
      <c r="J32" s="115">
        <f>SUM(G32:H32)</f>
        <v>7.6880000000000004E-2</v>
      </c>
      <c r="K32" s="94" t="s">
        <v>85</v>
      </c>
      <c r="L32" s="89">
        <f>ROUND(D32*G32,2)</f>
        <v>0</v>
      </c>
      <c r="M32" s="89"/>
      <c r="N32" s="89"/>
      <c r="O32" s="89">
        <f t="shared" si="3"/>
        <v>0</v>
      </c>
      <c r="P32" s="92">
        <f>'Rider Rates'!$D$21</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156</v>
      </c>
      <c r="B33" s="72"/>
      <c r="C33" s="72"/>
      <c r="D33" s="111">
        <f>'Customer Info'!$B$23</f>
        <v>0</v>
      </c>
      <c r="E33" s="97" t="s">
        <v>19</v>
      </c>
      <c r="F33" s="84" t="s">
        <v>80</v>
      </c>
      <c r="G33" s="100">
        <f>'Rider Rates'!B33</f>
        <v>1.3643000000000001E-2</v>
      </c>
      <c r="H33" s="100"/>
      <c r="I33" s="100"/>
      <c r="J33" s="115">
        <f>SUM(G33:H33)</f>
        <v>1.3643000000000001E-2</v>
      </c>
      <c r="K33" s="94" t="s">
        <v>85</v>
      </c>
      <c r="L33" s="89">
        <f>ROUND(D33*G33,2)</f>
        <v>0</v>
      </c>
      <c r="M33" s="89"/>
      <c r="N33" s="89"/>
      <c r="O33" s="89">
        <f t="shared" si="3"/>
        <v>0</v>
      </c>
      <c r="P33" s="92">
        <f>'Rider Rates'!$D$32</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2" t="s">
        <v>157</v>
      </c>
      <c r="B34" s="72"/>
      <c r="C34" s="72"/>
      <c r="D34" s="111">
        <f>'Customer Info'!$B$22</f>
        <v>0</v>
      </c>
      <c r="E34" s="97" t="s">
        <v>19</v>
      </c>
      <c r="F34" s="84" t="s">
        <v>80</v>
      </c>
      <c r="G34" s="100">
        <f>'Rider Rates'!B32</f>
        <v>3.97676E-2</v>
      </c>
      <c r="H34" s="100"/>
      <c r="I34" s="100"/>
      <c r="J34" s="115">
        <f>SUM(G34:H34)</f>
        <v>3.97676E-2</v>
      </c>
      <c r="K34" s="94" t="s">
        <v>85</v>
      </c>
      <c r="L34" s="89">
        <f>ROUND(D34*G34,2)</f>
        <v>0</v>
      </c>
      <c r="M34" s="89"/>
      <c r="N34" s="89"/>
      <c r="O34" s="89">
        <f t="shared" si="3"/>
        <v>0</v>
      </c>
      <c r="P34" s="92">
        <f>'Rider Rates'!$D$33</f>
        <v>45809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95</v>
      </c>
      <c r="B35" s="72"/>
      <c r="C35" s="72"/>
      <c r="D35" s="111">
        <f>'Customer Info'!$B$22+'Customer Info'!$B$23</f>
        <v>0</v>
      </c>
      <c r="E35" s="97" t="s">
        <v>19</v>
      </c>
      <c r="F35" s="84" t="s">
        <v>80</v>
      </c>
      <c r="G35" s="100">
        <f>'Rider Rates'!B49</f>
        <v>2.7588999999999999E-3</v>
      </c>
      <c r="H35" s="100"/>
      <c r="I35" s="100"/>
      <c r="J35" s="115">
        <f>SUM(G35:H35)</f>
        <v>2.7588999999999999E-3</v>
      </c>
      <c r="K35" s="94" t="s">
        <v>85</v>
      </c>
      <c r="L35" s="89">
        <f>ROUND(D35*G35,2)</f>
        <v>0</v>
      </c>
      <c r="M35" s="89"/>
      <c r="N35" s="89"/>
      <c r="O35" s="89">
        <f>SUM(L35:N35)</f>
        <v>0</v>
      </c>
      <c r="P35" s="92">
        <f>'Rider Rates'!$D$49</f>
        <v>46022</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2" t="s">
        <v>96</v>
      </c>
      <c r="B36" s="72"/>
      <c r="C36" s="72"/>
      <c r="D36" s="111"/>
      <c r="E36" s="97" t="s">
        <v>55</v>
      </c>
      <c r="F36" s="84" t="s">
        <v>2</v>
      </c>
      <c r="G36" s="100"/>
      <c r="H36" s="100"/>
      <c r="I36" s="100">
        <f>'Rider Rates'!D52</f>
        <v>0</v>
      </c>
      <c r="J36" s="100">
        <f>SUM(G36:I36)</f>
        <v>0</v>
      </c>
      <c r="K36" s="94" t="s">
        <v>85</v>
      </c>
      <c r="L36" s="89"/>
      <c r="M36" s="89"/>
      <c r="N36" s="89">
        <f>J36</f>
        <v>0</v>
      </c>
      <c r="O36" s="89">
        <f>SUM(L36:N36)</f>
        <v>0</v>
      </c>
      <c r="P36" s="92">
        <f>'Rider Rates'!E52</f>
        <v>45883</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97</v>
      </c>
      <c r="B37" s="72"/>
      <c r="C37" s="72"/>
      <c r="D37" s="111">
        <f>IF($C$15&lt;0,0,$C$15)</f>
        <v>0</v>
      </c>
      <c r="E37" s="97" t="s">
        <v>19</v>
      </c>
      <c r="F37" s="84" t="s">
        <v>80</v>
      </c>
      <c r="G37" s="100"/>
      <c r="H37" s="100">
        <f>'Rider Rates'!$B$57</f>
        <v>3.55042E-2</v>
      </c>
      <c r="I37" s="100"/>
      <c r="J37" s="100">
        <f>SUM(G37:I37)</f>
        <v>3.55042E-2</v>
      </c>
      <c r="K37" s="94" t="s">
        <v>85</v>
      </c>
      <c r="L37" s="89"/>
      <c r="M37" s="89">
        <f>ROUND(D37*H37,2)</f>
        <v>0</v>
      </c>
      <c r="N37" s="116"/>
      <c r="O37" s="89">
        <f t="shared" si="3"/>
        <v>0</v>
      </c>
      <c r="P37" s="92">
        <f>'Rider Rates'!$D$57</f>
        <v>45929</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98</v>
      </c>
      <c r="B38" s="72"/>
      <c r="C38" s="72"/>
      <c r="D38" s="111">
        <f>IF($C$15&lt;0,0,$C$15)</f>
        <v>0</v>
      </c>
      <c r="E38" s="97" t="s">
        <v>19</v>
      </c>
      <c r="F38" s="84" t="s">
        <v>80</v>
      </c>
      <c r="G38" s="100"/>
      <c r="H38" s="100"/>
      <c r="I38" s="100">
        <f>'Rider Rates'!$B$68</f>
        <v>7.3870000000000001E-4</v>
      </c>
      <c r="J38" s="100">
        <f t="shared" ref="J38" si="4">SUM(G38:I38)</f>
        <v>7.3870000000000001E-4</v>
      </c>
      <c r="K38" s="94" t="s">
        <v>85</v>
      </c>
      <c r="L38" s="89"/>
      <c r="M38" s="89"/>
      <c r="N38" s="89">
        <f>ROUND($D$38*'Rider Rates'!$B$68,2)</f>
        <v>0</v>
      </c>
      <c r="O38" s="89">
        <f t="shared" ref="O38" si="5">SUM(L38:N38)</f>
        <v>0</v>
      </c>
      <c r="P38" s="92">
        <f>'Rider Rates'!$D$68</f>
        <v>45747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Info'!C35=TRUE,0,IF($C$15&lt;0,0,$C$15))</f>
        <v>0</v>
      </c>
      <c r="E39" s="97" t="s">
        <v>19</v>
      </c>
      <c r="F39" s="84" t="s">
        <v>80</v>
      </c>
      <c r="G39" s="100"/>
      <c r="H39" s="100"/>
      <c r="I39" s="100">
        <f>'Rider Rates'!$B$71+'Rider Rates'!$C$71</f>
        <v>0</v>
      </c>
      <c r="J39" s="100">
        <f t="shared" si="0"/>
        <v>0</v>
      </c>
      <c r="K39" s="94" t="s">
        <v>85</v>
      </c>
      <c r="L39" s="89"/>
      <c r="M39" s="89"/>
      <c r="N39" s="89">
        <f>ROUND($D$39*'Rider Rates'!$B$71,2)+ROUND($D$39*'Rider Rates'!$C$71,2)</f>
        <v>0</v>
      </c>
      <c r="O39" s="89">
        <f t="shared" si="2"/>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100</v>
      </c>
      <c r="B40" s="72"/>
      <c r="C40" s="72"/>
      <c r="D40" s="113">
        <f>$N$21</f>
        <v>10</v>
      </c>
      <c r="E40" s="97" t="s">
        <v>92</v>
      </c>
      <c r="F40" s="84" t="s">
        <v>80</v>
      </c>
      <c r="G40" s="117"/>
      <c r="H40" s="118"/>
      <c r="I40" s="119">
        <f>'Rider Rates'!$B$87</f>
        <v>3.5344300000000002E-2</v>
      </c>
      <c r="J40" s="119">
        <f t="shared" si="0"/>
        <v>3.5344300000000002E-2</v>
      </c>
      <c r="K40" s="94"/>
      <c r="L40" s="89"/>
      <c r="M40" s="89"/>
      <c r="N40" s="89">
        <f>ROUND(D40*I40,2)</f>
        <v>0.35</v>
      </c>
      <c r="O40" s="89">
        <f t="shared" si="2"/>
        <v>0.35</v>
      </c>
      <c r="P40" s="92">
        <f>'Rider Rates'!$D$87</f>
        <v>45929</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101</v>
      </c>
      <c r="B41" s="72"/>
      <c r="C41" s="72"/>
      <c r="D41" s="113">
        <f>$N$21</f>
        <v>10</v>
      </c>
      <c r="E41" s="97" t="s">
        <v>92</v>
      </c>
      <c r="F41" s="84" t="s">
        <v>80</v>
      </c>
      <c r="G41" s="120"/>
      <c r="H41" s="85"/>
      <c r="I41" s="119">
        <f>'Rider Rates'!$B$89</f>
        <v>7.8822199999999995E-2</v>
      </c>
      <c r="J41" s="119">
        <f t="shared" si="0"/>
        <v>7.8822199999999995E-2</v>
      </c>
      <c r="K41" s="94"/>
      <c r="L41" s="89"/>
      <c r="M41" s="89"/>
      <c r="N41" s="89">
        <f>ROUND(D41*I41,2)</f>
        <v>0.79</v>
      </c>
      <c r="O41" s="89">
        <f t="shared" si="2"/>
        <v>0.79</v>
      </c>
      <c r="P41" s="92">
        <f>'Rider Rates'!$D$89</f>
        <v>45987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102</v>
      </c>
      <c r="B42" s="72"/>
      <c r="C42" s="72"/>
      <c r="D42" s="113"/>
      <c r="E42" s="97" t="s">
        <v>55</v>
      </c>
      <c r="F42" s="84"/>
      <c r="G42" s="120"/>
      <c r="H42" s="85"/>
      <c r="I42" s="121">
        <f>'Rider Rates'!$B$92</f>
        <v>2.62</v>
      </c>
      <c r="J42" s="121">
        <f t="shared" si="0"/>
        <v>2.62</v>
      </c>
      <c r="K42" s="94"/>
      <c r="L42" s="89"/>
      <c r="M42" s="89"/>
      <c r="N42" s="89">
        <f>I42</f>
        <v>2.62</v>
      </c>
      <c r="O42" s="89">
        <f t="shared" si="2"/>
        <v>2.62</v>
      </c>
      <c r="P42" s="92">
        <f>'Rider Rates'!$D$92</f>
        <v>46022</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103</v>
      </c>
      <c r="B43" s="72"/>
      <c r="C43" s="72"/>
      <c r="D43" s="111">
        <f>IF($C$15&lt;0,0,$C$15)</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$N$21</f>
        <v>10</v>
      </c>
      <c r="E44" s="97" t="s">
        <v>92</v>
      </c>
      <c r="F44" s="84" t="s">
        <v>80</v>
      </c>
      <c r="G44" s="120"/>
      <c r="H44" s="85"/>
      <c r="I44" s="119">
        <f>'Rider Rates'!$B$107</f>
        <v>0.24079249999999999</v>
      </c>
      <c r="J44" s="119">
        <f t="shared" si="0"/>
        <v>0.24079249999999999</v>
      </c>
      <c r="K44" s="94"/>
      <c r="L44" s="89"/>
      <c r="M44" s="89"/>
      <c r="N44" s="89">
        <f>ROUND(D44*I44,2)</f>
        <v>2.41</v>
      </c>
      <c r="O44" s="89">
        <f t="shared" si="2"/>
        <v>2.41</v>
      </c>
      <c r="P44" s="92">
        <f>'Rider Rates'!$D$107</f>
        <v>45987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105</v>
      </c>
      <c r="B45" s="72"/>
      <c r="C45" s="72"/>
      <c r="D45" s="113"/>
      <c r="E45" s="97" t="s">
        <v>55</v>
      </c>
      <c r="F45" s="84"/>
      <c r="G45" s="120"/>
      <c r="H45" s="85"/>
      <c r="I45" s="123">
        <f>'Rider Rates'!B122</f>
        <v>0.2</v>
      </c>
      <c r="J45" s="121">
        <f t="shared" si="0"/>
        <v>0.2</v>
      </c>
      <c r="K45" s="94"/>
      <c r="L45" s="89"/>
      <c r="M45" s="89"/>
      <c r="N45" s="125">
        <f>I45</f>
        <v>0.2</v>
      </c>
      <c r="O45" s="89">
        <f t="shared" si="2"/>
        <v>0.2</v>
      </c>
      <c r="P45" s="92">
        <f>'Rider Rates'!D122</f>
        <v>45958</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IF($C$15&lt;1,0,$C$15)</f>
        <v>0</v>
      </c>
      <c r="E47" s="97" t="s">
        <v>19</v>
      </c>
      <c r="F47" s="126" t="s">
        <v>80</v>
      </c>
      <c r="G47" s="99"/>
      <c r="H47" s="99"/>
      <c r="I47" s="183">
        <f>'Rider Rates'!B118</f>
        <v>0</v>
      </c>
      <c r="J47" s="183">
        <f>SUM(G47:I47)</f>
        <v>0</v>
      </c>
      <c r="K47" s="94" t="s">
        <v>85</v>
      </c>
      <c r="L47" s="89"/>
      <c r="M47" s="89"/>
      <c r="N47" s="89">
        <f>D47*J47</f>
        <v>0</v>
      </c>
      <c r="O47" s="89">
        <f>SUM(L47:N47)</f>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108</v>
      </c>
      <c r="B48" s="72"/>
      <c r="C48" s="72"/>
      <c r="D48" s="111"/>
      <c r="E48" s="97" t="s">
        <v>55</v>
      </c>
      <c r="F48" s="84" t="s">
        <v>80</v>
      </c>
      <c r="G48" s="127"/>
      <c r="H48" s="127"/>
      <c r="I48" s="127">
        <f>'Rider Rates'!$B$126</f>
        <v>0</v>
      </c>
      <c r="J48" s="127">
        <f>SUM(G48:I48)</f>
        <v>0</v>
      </c>
      <c r="K48" s="94"/>
      <c r="L48" s="128"/>
      <c r="M48" s="128"/>
      <c r="N48" s="128">
        <f>J48</f>
        <v>0</v>
      </c>
      <c r="O48" s="128">
        <f>SUM(L48:N48)</f>
        <v>0</v>
      </c>
      <c r="P48" s="129">
        <f>'Rider Rates'!$E$126</f>
        <v>45883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109</v>
      </c>
      <c r="B49" s="72"/>
      <c r="C49" s="72"/>
      <c r="D49" s="111">
        <f>C15</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130" t="s">
        <v>112</v>
      </c>
      <c r="B52" s="69"/>
      <c r="C52" s="69"/>
      <c r="D52" s="131"/>
      <c r="E52" s="132"/>
      <c r="F52" s="133"/>
      <c r="G52" s="133"/>
      <c r="H52" s="133"/>
      <c r="I52" s="133"/>
      <c r="J52" s="133"/>
      <c r="K52" s="134"/>
      <c r="L52" s="105">
        <f>SUM(L25:L51)</f>
        <v>0</v>
      </c>
      <c r="M52" s="105">
        <f>SUM(M25:M51)</f>
        <v>0</v>
      </c>
      <c r="N52" s="105">
        <f>SUM(N25:N51)</f>
        <v>6.37</v>
      </c>
      <c r="O52" s="105">
        <f>SUM(O25:O51)</f>
        <v>6.37</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c r="B53" s="72"/>
      <c r="C53" s="72"/>
      <c r="D53" s="111"/>
      <c r="E53" s="97"/>
      <c r="F53" s="84"/>
      <c r="G53" s="84"/>
      <c r="H53" s="84"/>
      <c r="I53" s="84"/>
      <c r="J53" s="101"/>
      <c r="K53" s="94"/>
      <c r="L53" s="84"/>
      <c r="M53" s="84"/>
      <c r="N53" s="84"/>
      <c r="O53" s="84"/>
      <c r="P53" s="137"/>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106"/>
      <c r="B54" s="106"/>
      <c r="C54" s="106"/>
      <c r="D54" s="106"/>
      <c r="E54" s="106"/>
      <c r="F54" s="106"/>
      <c r="G54" s="106"/>
      <c r="H54" s="106"/>
      <c r="I54" s="106"/>
      <c r="J54" s="106"/>
      <c r="K54" s="106"/>
      <c r="L54" s="139">
        <f>L21+L52</f>
        <v>0</v>
      </c>
      <c r="M54" s="139">
        <f>M21+M52</f>
        <v>0</v>
      </c>
      <c r="N54" s="139">
        <f>N21+N52</f>
        <v>16.37</v>
      </c>
      <c r="O54" s="140">
        <f>O21+O52</f>
        <v>16.37</v>
      </c>
      <c r="P54" s="140"/>
      <c r="Q54" s="84"/>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84"/>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85"/>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02" t="s">
        <v>114</v>
      </c>
      <c r="B57" s="72"/>
      <c r="C57" s="72"/>
      <c r="D57" s="102"/>
      <c r="E57" s="72"/>
      <c r="F57" s="72"/>
      <c r="G57" s="72"/>
      <c r="H57" s="72"/>
      <c r="I57" s="72"/>
      <c r="J57" s="72"/>
      <c r="K57" s="72"/>
      <c r="L57" s="72"/>
      <c r="M57" s="72"/>
      <c r="N57" s="72"/>
      <c r="O57" s="95">
        <f>IF($C$15&lt;=0,MIN(O19,O54), O19)</f>
        <v>10</v>
      </c>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85"/>
      <c r="B58" s="102"/>
      <c r="C58" s="102"/>
      <c r="D58" s="102"/>
      <c r="E58" s="102"/>
      <c r="F58" s="102"/>
      <c r="G58" s="102"/>
      <c r="H58" s="102"/>
      <c r="I58" s="72"/>
      <c r="J58" s="72"/>
      <c r="K58" s="72"/>
      <c r="L58" s="72"/>
      <c r="M58" s="72"/>
      <c r="N58" s="72"/>
      <c r="O58" s="72"/>
      <c r="P58" s="72"/>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69" t="s">
        <v>115</v>
      </c>
      <c r="B59" s="72"/>
      <c r="C59" s="72"/>
      <c r="D59" s="72"/>
      <c r="E59" s="72"/>
      <c r="F59" s="72"/>
      <c r="G59" s="72"/>
      <c r="H59" s="72"/>
      <c r="I59" s="72"/>
      <c r="J59" s="72"/>
      <c r="K59" s="72"/>
      <c r="L59" s="72"/>
      <c r="M59" s="72"/>
      <c r="N59" s="72"/>
      <c r="O59" s="141">
        <f>IF($C$15&lt;0,O54,IF(O54&gt;O57,O54,O57))</f>
        <v>16.37</v>
      </c>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85"/>
    </row>
    <row r="61" spans="1:221" x14ac:dyDescent="0.2">
      <c r="A61" s="185"/>
      <c r="I61" s="102" t="s">
        <v>116</v>
      </c>
      <c r="J61" s="102"/>
      <c r="K61" s="102"/>
      <c r="L61" s="143"/>
      <c r="M61" s="143"/>
      <c r="N61" s="143"/>
      <c r="O61" s="143">
        <f>ROUND(IF($C$15&lt;1,0,O54/($C$15*100)*10000),2)</f>
        <v>0</v>
      </c>
      <c r="P61" s="144" t="s">
        <v>117</v>
      </c>
    </row>
    <row r="62" spans="1:221" x14ac:dyDescent="0.2">
      <c r="A62" s="185"/>
      <c r="I62" s="146" t="s">
        <v>118</v>
      </c>
      <c r="J62" s="72"/>
      <c r="K62" s="72"/>
      <c r="L62" s="72"/>
      <c r="M62" s="72"/>
      <c r="N62" s="72"/>
      <c r="O62" s="147">
        <f>ROUND(IF($C$15&lt;1,0,(L54)/($C$15*100)*10000),2)</f>
        <v>0</v>
      </c>
      <c r="P62" s="59" t="s">
        <v>117</v>
      </c>
    </row>
    <row r="63" spans="1:221" x14ac:dyDescent="0.2">
      <c r="A63" s="185"/>
    </row>
    <row r="64" spans="1:221" x14ac:dyDescent="0.2">
      <c r="A64" s="185"/>
    </row>
    <row r="65" spans="1:1" x14ac:dyDescent="0.2">
      <c r="A65" s="185"/>
    </row>
    <row r="66" spans="1:1" x14ac:dyDescent="0.2">
      <c r="A66" s="185"/>
    </row>
    <row r="67" spans="1:1" x14ac:dyDescent="0.2">
      <c r="A67" s="185"/>
    </row>
    <row r="68" spans="1:1" x14ac:dyDescent="0.2">
      <c r="A68" s="185"/>
    </row>
    <row r="69" spans="1:1" x14ac:dyDescent="0.2">
      <c r="A69" s="185"/>
    </row>
  </sheetData>
  <sheetProtection algorithmName="SHA-512" hashValue="ChsCzXBMkLr5g/5Mcyhkxk5UvZJyNC4FplWkrdDMEzK11x5Z4XW1HlMJj7RfEO+kuJycyZfaoOugzqHBPTnVRA==" saltValue="XyEUk9DVuBNmQF44+K17x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0"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3" r:id="rId8" name="Button 5">
              <controlPr defaultSize="0" print="0" autoFill="0" autoPict="0" macro="[0]!Info">
                <anchor moveWithCells="1">
                  <from>
                    <xdr:col>14</xdr:col>
                    <xdr:colOff>409575</xdr:colOff>
                    <xdr:row>77</xdr:row>
                    <xdr:rowOff>28575</xdr:rowOff>
                  </from>
                  <to>
                    <xdr:col>14</xdr:col>
                    <xdr:colOff>752475</xdr:colOff>
                    <xdr:row>78</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33482-B519-4A58-940B-A296A38E76E3}">
  <dimension ref="A1:IB93"/>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2" t="s">
        <v>50</v>
      </c>
      <c r="B1" s="432"/>
      <c r="C1" s="432"/>
      <c r="D1" s="432"/>
      <c r="E1" s="432"/>
      <c r="F1" s="432"/>
      <c r="G1" s="432"/>
      <c r="H1" s="432"/>
      <c r="I1" s="432"/>
      <c r="J1" s="432"/>
      <c r="K1" s="432"/>
      <c r="L1" s="432"/>
      <c r="M1" s="432"/>
      <c r="N1" s="432"/>
      <c r="O1" s="432"/>
      <c r="P1" s="432"/>
      <c r="Q1" s="52"/>
    </row>
    <row r="2" spans="1:59" ht="18" customHeight="1" x14ac:dyDescent="0.2">
      <c r="A2" s="433" t="s">
        <v>158</v>
      </c>
      <c r="B2" s="433"/>
      <c r="C2" s="433"/>
      <c r="D2" s="433"/>
      <c r="E2" s="433"/>
      <c r="F2" s="433"/>
      <c r="G2" s="433"/>
      <c r="H2" s="433"/>
      <c r="I2" s="433"/>
      <c r="J2" s="433"/>
      <c r="K2" s="433"/>
      <c r="L2" s="433"/>
      <c r="M2" s="433"/>
      <c r="N2" s="433"/>
      <c r="O2" s="433"/>
      <c r="P2" s="433"/>
    </row>
    <row r="3" spans="1:59" ht="18" x14ac:dyDescent="0.25">
      <c r="A3" s="433"/>
      <c r="B3" s="433"/>
      <c r="C3" s="433"/>
      <c r="D3" s="433"/>
      <c r="E3" s="433"/>
      <c r="F3" s="433"/>
      <c r="G3" s="433"/>
      <c r="H3" s="433"/>
      <c r="I3" s="433"/>
      <c r="J3" s="433"/>
      <c r="K3" s="433"/>
      <c r="L3" s="433"/>
      <c r="M3" s="433"/>
      <c r="N3" s="433"/>
      <c r="O3" s="433"/>
      <c r="P3" s="433"/>
      <c r="Q3" s="53"/>
    </row>
    <row r="4" spans="1:59" ht="15.75" x14ac:dyDescent="0.25">
      <c r="A4" s="434" t="str">
        <f>'Customer Info'!$B$12</f>
        <v>Breakdown of Charges Based on Entered Information</v>
      </c>
      <c r="B4" s="434"/>
      <c r="C4" s="434"/>
      <c r="D4" s="434"/>
      <c r="E4" s="434"/>
      <c r="F4" s="434"/>
      <c r="G4" s="434"/>
      <c r="H4" s="434"/>
      <c r="I4" s="434"/>
      <c r="J4" s="434"/>
      <c r="K4" s="434"/>
      <c r="L4" s="434"/>
      <c r="M4" s="434"/>
      <c r="N4" s="434"/>
      <c r="O4" s="434"/>
      <c r="P4" s="434"/>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46051</v>
      </c>
      <c r="B6" s="435" t="s">
        <v>159</v>
      </c>
      <c r="C6" s="435"/>
      <c r="D6" s="435"/>
      <c r="E6" s="435"/>
      <c r="F6" s="435"/>
      <c r="G6" s="435"/>
      <c r="H6" s="435"/>
      <c r="I6" s="435"/>
      <c r="J6" s="435"/>
      <c r="K6" s="435"/>
      <c r="L6" s="435"/>
      <c r="M6" s="435"/>
      <c r="N6" s="435"/>
      <c r="O6" s="435"/>
    </row>
    <row r="7" spans="1:59" x14ac:dyDescent="0.2">
      <c r="A7" s="436" t="s">
        <v>2</v>
      </c>
      <c r="B7" s="436"/>
      <c r="C7" s="436"/>
      <c r="D7" s="436"/>
      <c r="E7" s="436"/>
      <c r="F7" s="436"/>
      <c r="G7" s="436"/>
      <c r="H7" s="436"/>
      <c r="I7" s="436"/>
      <c r="J7" s="436"/>
      <c r="K7" s="436"/>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2</v>
      </c>
      <c r="C11" s="63" t="str">
        <f>LOOKUP($B$11,$S$11:$AD$11,S12:AD12)</f>
        <v>February</v>
      </c>
      <c r="D11" s="64">
        <f>'Customer Info'!C9</f>
        <v>2026</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160</v>
      </c>
      <c r="B18" s="72"/>
      <c r="C18" s="78"/>
      <c r="D18" s="78">
        <f>'Customer Info'!$B$19</f>
        <v>0</v>
      </c>
      <c r="E18" s="76" t="s">
        <v>13</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7" t="s">
        <v>71</v>
      </c>
      <c r="H23" s="438"/>
      <c r="I23" s="438"/>
      <c r="J23" s="439"/>
      <c r="K23" s="83"/>
      <c r="L23" s="440" t="s">
        <v>72</v>
      </c>
      <c r="M23" s="441"/>
      <c r="N23" s="441"/>
      <c r="O23" s="442"/>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1.3156299999999999E-2</v>
      </c>
      <c r="J26" s="100">
        <f>SUM(G26:I26)</f>
        <v>1.3156299999999999E-2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76" t="s">
        <v>161</v>
      </c>
      <c r="B27" s="72"/>
      <c r="C27" s="72"/>
      <c r="D27" s="4">
        <f>D18</f>
        <v>0</v>
      </c>
      <c r="E27" s="97" t="s">
        <v>13</v>
      </c>
      <c r="F27" s="126" t="s">
        <v>80</v>
      </c>
      <c r="G27" s="98"/>
      <c r="H27" s="89"/>
      <c r="I27" s="99">
        <v>2.14</v>
      </c>
      <c r="J27" s="100">
        <f>SUM(G27:I27)</f>
        <v>2.14</v>
      </c>
      <c r="K27" s="94" t="s">
        <v>162</v>
      </c>
      <c r="L27" s="89"/>
      <c r="M27" s="89"/>
      <c r="N27" s="89">
        <f>ROUND($D27*I27,2)</f>
        <v>0</v>
      </c>
      <c r="O27" s="91">
        <f>SUM(L27:N27)</f>
        <v>0</v>
      </c>
      <c r="P27" s="92">
        <v>44531</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IF($D$17&lt;0,0,IF($D$17&gt;833000,833000,$D$17))</f>
        <v>0</v>
      </c>
      <c r="E32" s="97" t="s">
        <v>19</v>
      </c>
      <c r="F32" s="84" t="s">
        <v>80</v>
      </c>
      <c r="G32" s="100"/>
      <c r="H32" s="100"/>
      <c r="I32" s="100">
        <f>'Rider Rates'!$B$4</f>
        <v>5.5215000000000004E-3</v>
      </c>
      <c r="J32" s="100">
        <f t="shared" ref="J32:J38" si="0">SUM(G32:I32)</f>
        <v>5.5215000000000004E-3</v>
      </c>
      <c r="K32" s="94" t="s">
        <v>85</v>
      </c>
      <c r="L32" s="89"/>
      <c r="M32" s="89"/>
      <c r="N32" s="89">
        <f t="shared" ref="N32:N37" si="1">ROUND(D32*I32,2)</f>
        <v>0</v>
      </c>
      <c r="O32" s="91">
        <f t="shared" ref="O32:O53" si="2">SUM(L32:N32)</f>
        <v>0</v>
      </c>
      <c r="P32" s="92">
        <f>'Rider Rates'!$D$4</f>
        <v>46022</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IF($D$17&gt;833000,$D$17-833000,0)</f>
        <v>0</v>
      </c>
      <c r="E33" s="97" t="s">
        <v>19</v>
      </c>
      <c r="F33" s="84" t="s">
        <v>80</v>
      </c>
      <c r="G33" s="100"/>
      <c r="H33" s="100"/>
      <c r="I33" s="100">
        <f>'Rider Rates'!$B$5</f>
        <v>1.7560000000000001E-4</v>
      </c>
      <c r="J33" s="100">
        <f t="shared" si="0"/>
        <v>1.7560000000000001E-4</v>
      </c>
      <c r="K33" s="94" t="s">
        <v>85</v>
      </c>
      <c r="L33" s="89"/>
      <c r="M33" s="89"/>
      <c r="N33" s="89">
        <f t="shared" si="1"/>
        <v>0</v>
      </c>
      <c r="O33" s="89">
        <f t="shared" si="2"/>
        <v>0</v>
      </c>
      <c r="P33" s="92">
        <f>'Rider Rates'!$D$4</f>
        <v>46022</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IF($D$17&lt;0,0,IF($D$17&gt;2000,2000,$D$17))</f>
        <v>0</v>
      </c>
      <c r="E34" s="97" t="s">
        <v>19</v>
      </c>
      <c r="F34" s="84" t="s">
        <v>80</v>
      </c>
      <c r="G34" s="100"/>
      <c r="H34" s="100"/>
      <c r="I34" s="112">
        <f>'Rider Rates'!$B$8</f>
        <v>4.6499999999999996E-3</v>
      </c>
      <c r="J34" s="112">
        <f t="shared" si="0"/>
        <v>4.6499999999999996E-3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IF($D$17&lt;=2000,0,IF($D$17=0,0,IF($D$17-2000&gt;13000,13000,$D$17-2000)))</f>
        <v>0</v>
      </c>
      <c r="E35" s="97" t="s">
        <v>19</v>
      </c>
      <c r="F35" s="84" t="s">
        <v>80</v>
      </c>
      <c r="G35" s="100"/>
      <c r="H35" s="100"/>
      <c r="I35" s="112">
        <f>'Rider Rates'!$B$9</f>
        <v>4.1900000000000001E-3</v>
      </c>
      <c r="J35" s="112">
        <f t="shared" si="0"/>
        <v>4.1900000000000001E-3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IF($D$17=0,0,IF($D$17-15000&gt;=0,$D$17-15000,0))</f>
        <v>0</v>
      </c>
      <c r="E36" s="97" t="s">
        <v>19</v>
      </c>
      <c r="F36" s="84" t="s">
        <v>80</v>
      </c>
      <c r="G36" s="100"/>
      <c r="H36" s="100"/>
      <c r="I36" s="112">
        <f>'Rider Rates'!$B$10</f>
        <v>3.63E-3</v>
      </c>
      <c r="J36" s="112">
        <f t="shared" si="0"/>
        <v>3.63E-3</v>
      </c>
      <c r="K36" s="94" t="s">
        <v>85</v>
      </c>
      <c r="L36" s="89"/>
      <c r="M36" s="89"/>
      <c r="N36" s="89">
        <f t="shared" si="1"/>
        <v>0</v>
      </c>
      <c r="O36" s="89">
        <f t="shared" si="2"/>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IF($D$17&lt;0,0,$D$17)</f>
        <v>0</v>
      </c>
      <c r="E37" s="97" t="s">
        <v>19</v>
      </c>
      <c r="F37" s="84" t="s">
        <v>80</v>
      </c>
      <c r="G37" s="100"/>
      <c r="H37" s="100"/>
      <c r="I37" s="100">
        <f>'Rider Rates'!B15</f>
        <v>0</v>
      </c>
      <c r="J37" s="100">
        <f t="shared" si="0"/>
        <v>0</v>
      </c>
      <c r="K37" s="94" t="s">
        <v>85</v>
      </c>
      <c r="L37" s="89"/>
      <c r="M37" s="89"/>
      <c r="N37" s="89">
        <f t="shared" si="1"/>
        <v>0</v>
      </c>
      <c r="O37" s="89">
        <f t="shared" ref="O37:O43" si="3">SUM(L37:N37)</f>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91</v>
      </c>
      <c r="B38" s="72"/>
      <c r="C38" s="72"/>
      <c r="D38" s="113">
        <f>$N$28</f>
        <v>10</v>
      </c>
      <c r="E38" s="97" t="s">
        <v>92</v>
      </c>
      <c r="F38" s="84" t="s">
        <v>80</v>
      </c>
      <c r="G38" s="100"/>
      <c r="H38" s="100"/>
      <c r="I38" s="114">
        <f>'Rider Rates'!$B$18</f>
        <v>0</v>
      </c>
      <c r="J38" s="114">
        <f t="shared" si="0"/>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Info'!$B$23-'Customer Info'!$B$24</f>
        <v>0</v>
      </c>
      <c r="E39" s="97" t="s">
        <v>19</v>
      </c>
      <c r="F39" s="84" t="s">
        <v>80</v>
      </c>
      <c r="G39" s="100">
        <f>'Rider Rates'!$B$21</f>
        <v>7.6880000000000004E-2</v>
      </c>
      <c r="H39" s="100"/>
      <c r="I39" s="100"/>
      <c r="J39" s="115">
        <f>SUM(G39:H39)</f>
        <v>7.6880000000000004E-2</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Info'!$B$23-'Customer Info'!$B$24</f>
        <v>0</v>
      </c>
      <c r="E40" s="97" t="s">
        <v>19</v>
      </c>
      <c r="F40" s="84" t="s">
        <v>80</v>
      </c>
      <c r="G40" s="100">
        <f>'Rider Rates'!$B$28</f>
        <v>2.298E-2</v>
      </c>
      <c r="H40" s="100"/>
      <c r="I40" s="100"/>
      <c r="J40" s="115">
        <f>SUM(G40:H40)</f>
        <v>2.298E-2</v>
      </c>
      <c r="K40" s="94" t="s">
        <v>85</v>
      </c>
      <c r="L40" s="90">
        <f>ROUND($D$40*$G$40,2)</f>
        <v>0</v>
      </c>
      <c r="M40" s="89"/>
      <c r="N40" s="89"/>
      <c r="O40" s="89">
        <f>SUM(L40:N40)</f>
        <v>0</v>
      </c>
      <c r="P40" s="92">
        <f>'Rider Rates'!$D$28</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Info'!$B$23-'Customer Info'!$B$24</f>
        <v>0</v>
      </c>
      <c r="E41" s="97" t="s">
        <v>19</v>
      </c>
      <c r="F41" s="84" t="s">
        <v>80</v>
      </c>
      <c r="G41" s="100">
        <f>'Rider Rates'!$B$49</f>
        <v>2.7588999999999999E-3</v>
      </c>
      <c r="H41" s="100"/>
      <c r="I41" s="100"/>
      <c r="J41" s="115">
        <f>SUM(G41:H41)</f>
        <v>2.7588999999999999E-3</v>
      </c>
      <c r="K41" s="94" t="s">
        <v>85</v>
      </c>
      <c r="L41" s="89">
        <f>ROUND(D41*G41,2)</f>
        <v>0</v>
      </c>
      <c r="M41" s="89"/>
      <c r="N41" s="89"/>
      <c r="O41" s="89">
        <f t="shared" si="3"/>
        <v>0</v>
      </c>
      <c r="P41" s="92">
        <f>'Rider Rates'!$D$49</f>
        <v>46022</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IF($D$17&lt;0,0,$D$17)</f>
        <v>0</v>
      </c>
      <c r="E43" s="97" t="s">
        <v>19</v>
      </c>
      <c r="F43" s="84" t="s">
        <v>80</v>
      </c>
      <c r="G43" s="100"/>
      <c r="H43" s="100">
        <f>'Rider Rates'!$B$57</f>
        <v>3.55042E-2</v>
      </c>
      <c r="I43" s="100"/>
      <c r="J43" s="100">
        <f t="shared" si="4"/>
        <v>3.55042E-2</v>
      </c>
      <c r="K43" s="94" t="s">
        <v>85</v>
      </c>
      <c r="L43" s="89"/>
      <c r="M43" s="89">
        <f>ROUND(D43*H43,2)</f>
        <v>0</v>
      </c>
      <c r="N43" s="116"/>
      <c r="O43" s="89">
        <f t="shared" si="3"/>
        <v>0</v>
      </c>
      <c r="P43" s="92">
        <f>'Rider Rates'!$D$57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IF($D$17&lt;0,0,$D$17)</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Info'!C35=TRUE,0,IF($D$17&lt;0,0,$D$17))</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3.5344300000000002E-2</v>
      </c>
      <c r="J46" s="119">
        <f t="shared" si="4"/>
        <v>3.5344300000000002E-2</v>
      </c>
      <c r="K46" s="94"/>
      <c r="L46" s="89"/>
      <c r="M46" s="89"/>
      <c r="N46" s="89">
        <f>ROUND(D46*I46,2)</f>
        <v>0.35</v>
      </c>
      <c r="O46" s="89">
        <f t="shared" si="2"/>
        <v>0.35</v>
      </c>
      <c r="P46" s="92">
        <f>'Rider Rates'!$D$87</f>
        <v>45929</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7.8822199999999995E-2</v>
      </c>
      <c r="J47" s="119">
        <f t="shared" si="4"/>
        <v>7.8822199999999995E-2</v>
      </c>
      <c r="K47" s="94"/>
      <c r="L47" s="89"/>
      <c r="M47" s="89"/>
      <c r="N47" s="89">
        <f>ROUND(D47*I47,2)</f>
        <v>0.79</v>
      </c>
      <c r="O47" s="89">
        <f t="shared" si="2"/>
        <v>0.79</v>
      </c>
      <c r="P47" s="92">
        <f>'Rider Rates'!$D$89</f>
        <v>45987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2.62</v>
      </c>
      <c r="J48" s="121">
        <f t="shared" si="4"/>
        <v>2.62</v>
      </c>
      <c r="K48" s="94"/>
      <c r="L48" s="89"/>
      <c r="M48" s="89"/>
      <c r="N48" s="89">
        <f>I48</f>
        <v>2.62</v>
      </c>
      <c r="O48" s="91">
        <f>SUM(L48:N48)</f>
        <v>2.62</v>
      </c>
      <c r="P48" s="92">
        <f>'Rider Rates'!$D$92</f>
        <v>46022</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0.24079249999999999</v>
      </c>
      <c r="J50" s="122">
        <f>SUM(G50:I50)</f>
        <v>0.24079249999999999</v>
      </c>
      <c r="K50" s="94"/>
      <c r="L50" s="89"/>
      <c r="M50" s="89"/>
      <c r="N50" s="89">
        <f>ROUND(D50*I50,2)</f>
        <v>2.41</v>
      </c>
      <c r="O50" s="89">
        <f t="shared" si="2"/>
        <v>2.41</v>
      </c>
      <c r="P50" s="92">
        <f>'Rider Rates'!$D$107</f>
        <v>45987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0.2</v>
      </c>
      <c r="J51" s="124">
        <f>SUM(G51:I51)</f>
        <v>0.2</v>
      </c>
      <c r="K51" s="94"/>
      <c r="L51" s="89"/>
      <c r="M51" s="89"/>
      <c r="N51" s="125">
        <f>I51</f>
        <v>0.2</v>
      </c>
      <c r="O51" s="89">
        <f>SUM(L51:N51)</f>
        <v>0.2</v>
      </c>
      <c r="P51" s="92">
        <f>'Rider Rates'!D122</f>
        <v>45958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Info'!$B$23-'Customer Info'!$B$24</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D17</f>
        <v>0</v>
      </c>
      <c r="E55" s="97" t="s">
        <v>19</v>
      </c>
      <c r="F55" s="126" t="s">
        <v>80</v>
      </c>
      <c r="G55" s="100"/>
      <c r="H55" s="100"/>
      <c r="I55" s="100">
        <f>'Rider Rates'!B131</f>
        <v>0</v>
      </c>
      <c r="J55" s="115">
        <f>SUM(G55:I55)</f>
        <v>0</v>
      </c>
      <c r="K55" s="94" t="s">
        <v>85</v>
      </c>
      <c r="L55" s="89"/>
      <c r="M55" s="89"/>
      <c r="N55" s="89">
        <f>D55*J55</f>
        <v>0</v>
      </c>
      <c r="O55" s="89">
        <f>SUM(L55:N55)</f>
        <v>0</v>
      </c>
      <c r="P55" s="92">
        <f>'Rider Rates'!D131</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Rates'!D138</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6.37</v>
      </c>
      <c r="O58" s="105">
        <f>SUM(O32:O57)</f>
        <v>6.37</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16.37</v>
      </c>
      <c r="O60" s="140">
        <f>O28+O58</f>
        <v>16.37</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16.37</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31"/>
    </row>
    <row r="80" spans="1:236" x14ac:dyDescent="0.2">
      <c r="A80" s="431"/>
    </row>
    <row r="81" spans="1:1" x14ac:dyDescent="0.2">
      <c r="A81" s="431"/>
    </row>
    <row r="82" spans="1:1" x14ac:dyDescent="0.2">
      <c r="A82" s="431"/>
    </row>
    <row r="83" spans="1:1" x14ac:dyDescent="0.2">
      <c r="A83" s="431"/>
    </row>
    <row r="84" spans="1:1" x14ac:dyDescent="0.2">
      <c r="A84" s="431"/>
    </row>
    <row r="85" spans="1:1" x14ac:dyDescent="0.2">
      <c r="A85" s="431"/>
    </row>
    <row r="86" spans="1:1" x14ac:dyDescent="0.2">
      <c r="A86" s="431"/>
    </row>
    <row r="87" spans="1:1" x14ac:dyDescent="0.2">
      <c r="A87" s="431"/>
    </row>
    <row r="88" spans="1:1" x14ac:dyDescent="0.2">
      <c r="A88" s="431"/>
    </row>
    <row r="89" spans="1:1" x14ac:dyDescent="0.2">
      <c r="A89" s="431"/>
    </row>
    <row r="90" spans="1:1" x14ac:dyDescent="0.2">
      <c r="A90" s="431"/>
    </row>
    <row r="91" spans="1:1" x14ac:dyDescent="0.2">
      <c r="A91" s="431"/>
    </row>
    <row r="92" spans="1:1" x14ac:dyDescent="0.2">
      <c r="A92" s="431"/>
    </row>
    <row r="93" spans="1:1" x14ac:dyDescent="0.2">
      <c r="A93" s="431"/>
    </row>
  </sheetData>
  <sheetProtection algorithmName="SHA-512" hashValue="f1PZ5ysnI92MTy2trQcJ05pqyNtOYrPcacH5TVG7YVZ4Q1XsVFbYbVS5rMJNO3rpo21KkBfGkQv0HCWBq3SNXQ==" saltValue="VTvwi3bKWelddYd3kewlEw==" spinCount="100000" sheet="1" objects="1" scenarios="1"/>
  <mergeCells count="8">
    <mergeCell ref="A79:A93"/>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8194" r:id="rId5" name="Button 2">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MzA6NTc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6C27153-ADB0-4FAF-9AF6-EAEA485D2BDC}">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FE2006EC-A322-4832-8C06-3EDEB86871B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34</vt:i4>
      </vt:variant>
    </vt:vector>
  </HeadingPairs>
  <TitlesOfParts>
    <vt:vector size="73" baseType="lpstr">
      <vt:lpstr>Customer Info</vt:lpstr>
      <vt:lpstr>Rider Def</vt:lpstr>
      <vt:lpstr>RR Bundled</vt:lpstr>
      <vt:lpstr>RLM Bundled</vt:lpstr>
      <vt:lpstr>RSDM Bundled</vt:lpstr>
      <vt:lpstr>RS TOU Bundled</vt:lpstr>
      <vt:lpstr>RS PEV </vt:lpstr>
      <vt:lpstr>RS TOD Bundled</vt:lpstr>
      <vt:lpstr>RR Pilot PEV</vt:lpstr>
      <vt:lpstr>GS-1 Bundled</vt:lpstr>
      <vt:lpstr>GS-TOU Bundled</vt:lpstr>
      <vt:lpstr>GS TOD Bundled</vt:lpstr>
      <vt:lpstr>GS-Pilot PEV</vt:lpstr>
      <vt:lpstr>GS FAIR - SEC</vt:lpstr>
      <vt:lpstr>GS FAIR - PRI</vt:lpstr>
      <vt:lpstr>Bus PEV - Sec</vt:lpstr>
      <vt:lpstr>Bus PEV - Primary</vt:lpstr>
      <vt:lpstr>Bus PEV - Trans</vt:lpstr>
      <vt:lpstr>GS SEC</vt:lpstr>
      <vt:lpstr>GS PRI</vt:lpstr>
      <vt:lpstr>GS TRANS</vt:lpstr>
      <vt:lpstr>GS DCT SEC</vt:lpstr>
      <vt:lpstr>GS DCT PRI</vt:lpstr>
      <vt:lpstr>GS DCT TRANS</vt:lpstr>
      <vt:lpstr>RR Open Access</vt:lpstr>
      <vt:lpstr>RS PEV  OAD</vt:lpstr>
      <vt:lpstr>RSDM Open</vt:lpstr>
      <vt:lpstr>GS-1 Open</vt:lpstr>
      <vt:lpstr>GS-PEV Pilot OAD</vt:lpstr>
      <vt:lpstr>GS SEC OAD</vt:lpstr>
      <vt:lpstr>GS PRI OAD</vt:lpstr>
      <vt:lpstr>GS TRANS - OAD</vt:lpstr>
      <vt:lpstr>GS DCT SEC OAD</vt:lpstr>
      <vt:lpstr>GS DCT PRI OAD</vt:lpstr>
      <vt:lpstr>GS DCT TRANS - OAD</vt:lpstr>
      <vt:lpstr>Bus PEV - Sec OAD</vt:lpstr>
      <vt:lpstr>Bus PEV - Primary OAD</vt:lpstr>
      <vt:lpstr>Bus PEV - Trans OAD</vt:lpstr>
      <vt:lpstr>Rider Rates</vt:lpstr>
      <vt:lpstr>'Customer Info'!Print_Area</vt:lpstr>
      <vt:lpstr>'GS DCT PRI'!Print_Area</vt:lpstr>
      <vt:lpstr>'GS DCT PRI OAD'!Print_Area</vt:lpstr>
      <vt:lpstr>'GS DCT SEC'!Print_Area</vt:lpstr>
      <vt:lpstr>'GS DCT SEC OAD'!Print_Area</vt:lpstr>
      <vt:lpstr>'GS DCT TRANS'!Print_Area</vt:lpstr>
      <vt:lpstr>'GS DCT TRANS - OAD'!Print_Area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Pilot OAD'!Print_Area</vt:lpstr>
      <vt:lpstr>'GS-Pilot PEV'!Print_Area</vt:lpstr>
      <vt:lpstr>'GS-TOU Bundled'!Print_Area</vt:lpstr>
      <vt:lpstr>'Rider Def'!Print_Area</vt:lpstr>
      <vt:lpstr>'Rider Rates'!Print_Area</vt:lpstr>
      <vt:lpstr>'RLM Bundled'!Print_Area</vt:lpstr>
      <vt:lpstr>'RR Bundled'!Print_Area</vt:lpstr>
      <vt:lpstr>'RR Open Access'!Print_Area</vt:lpstr>
      <vt:lpstr>'RR Pilot PEV'!Print_Area</vt:lpstr>
      <vt:lpstr>'RS PEV '!Print_Area</vt:lpstr>
      <vt:lpstr>'RS PEV  OAD'!Print_Area</vt:lpstr>
      <vt:lpstr>'RS TOD Bundled'!Print_Area</vt:lpstr>
      <vt:lpstr>'RS TOU Bundled'!Print_Area</vt:lpstr>
      <vt:lpstr>'RSDM Bundled'!Print_Area</vt:lpstr>
      <vt:lpstr>'RSDM Open'!Print_Area</vt:lpstr>
      <vt:lpstr>'Rider Rates'!Print_Titles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Michael W McCulty</cp:lastModifiedBy>
  <dcterms:created xsi:type="dcterms:W3CDTF">2024-12-30T21:30:48Z</dcterms:created>
  <dcterms:modified xsi:type="dcterms:W3CDTF">2026-01-29T20:11:16Z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3c100175-9af1-4337-862e-bd86826b3641</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{76C27153-ADB0-4FAF-9AF6-EAEA485D2BDC}</vt:lpwstr>
  </property>
  <property fmtid="{D5CDD505-2E9C-101B-9397-08002B2CF9AE}" pid="12" name="bjpmDocIH">
    <vt:lpwstr>UlCBV6MZkbRiHma6CQZ9UtsxQkWfju0H</vt:lpwstr>
  </property>
</Properties>
</file>