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8.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9.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11.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3.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14.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15.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drawings/drawing16.xml" ContentType="application/vnd.openxmlformats-officedocument.drawing+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drawings/drawing17.xml" ContentType="application/vnd.openxmlformats-officedocument.drawing+xml"/>
  <Override PartName="/xl/ctrlProps/ctrlProp338.xml" ContentType="application/vnd.ms-excel.controlproperties+xml"/>
  <Override PartName="/xl/ctrlProps/ctrlProp339.xml" ContentType="application/vnd.ms-excel.controlproperties+xml"/>
  <Override PartName="/xl/drawings/drawing18.xml" ContentType="application/vnd.openxmlformats-officedocument.drawing+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19.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drawings/drawing20.xml" ContentType="application/vnd.openxmlformats-officedocument.drawing+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drawings/drawing21.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drawings/drawing22.xml" ContentType="application/vnd.openxmlformats-officedocument.drawing+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drawings/drawing23.xml" ContentType="application/vnd.openxmlformats-officedocument.drawing+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drawings/drawing24.xml" ContentType="application/vnd.openxmlformats-officedocument.drawing+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H:\internal\RP&amp;A\Rate Changes &amp; Tariff Book Files\Rate Change\Rate Calc\2024\April\"/>
    </mc:Choice>
  </mc:AlternateContent>
  <xr:revisionPtr revIDLastSave="0" documentId="13_ncr:1_{95BE488D-B723-40B7-91B4-58099C5DF7A7}" xr6:coauthVersionLast="47" xr6:coauthVersionMax="47" xr10:uidLastSave="{00000000-0000-0000-0000-000000000000}"/>
  <bookViews>
    <workbookView xWindow="-67320" yWindow="-120" windowWidth="38640" windowHeight="15720" tabRatio="821" xr2:uid="{00000000-000D-0000-FFFF-FFFF00000000}"/>
  </bookViews>
  <sheets>
    <sheet name="Customer Info" sheetId="1" r:id="rId1"/>
    <sheet name="Rider Def" sheetId="146" r:id="rId2"/>
    <sheet name="RR Bundled" sheetId="34" r:id="rId3"/>
    <sheet name="RLM Bundled" sheetId="143" r:id="rId4"/>
    <sheet name="RSDM Bundled" sheetId="100" r:id="rId5"/>
    <sheet name="RS TOU Bundled" sheetId="127" r:id="rId6"/>
    <sheet name="RS TOD Bundled" sheetId="126" r:id="rId7"/>
    <sheet name="RR PEV" sheetId="140" r:id="rId8"/>
    <sheet name="GS-1 Bundled" sheetId="37" r:id="rId9"/>
    <sheet name="GS-TOU Bundled" sheetId="128" r:id="rId10"/>
    <sheet name="GS TOD Bundled" sheetId="119" r:id="rId11"/>
    <sheet name="GS-PEV" sheetId="147" r:id="rId12"/>
    <sheet name="GS FAIR - SEC" sheetId="138" r:id="rId13"/>
    <sheet name="GS FAIR - PRI" sheetId="139" r:id="rId14"/>
    <sheet name="GS SEC" sheetId="145" r:id="rId15"/>
    <sheet name="GS PRI" sheetId="129" r:id="rId16"/>
    <sheet name="GS TRANS" sheetId="130" r:id="rId17"/>
    <sheet name="RR Open Access" sheetId="131" r:id="rId18"/>
    <sheet name="RSDM Open" sheetId="132" r:id="rId19"/>
    <sheet name="GS-1 Open" sheetId="133" r:id="rId20"/>
    <sheet name="GS-PEV OAD" sheetId="148" r:id="rId21"/>
    <sheet name="GS SEC OAD" sheetId="141" r:id="rId22"/>
    <sheet name="GS PRI OAD" sheetId="142" r:id="rId23"/>
    <sheet name="GS TRANS - OAD" sheetId="136" r:id="rId24"/>
    <sheet name="Rider Rates" sheetId="120" r:id="rId25"/>
    <sheet name="Riders" sheetId="61" state="hidden" r:id="rId26"/>
  </sheets>
  <definedNames>
    <definedName name="_xlnm.Print_Area" localSheetId="0">'Customer Info'!$A$1:$F$37</definedName>
    <definedName name="_xlnm.Print_Area" localSheetId="13">'GS FAIR - PRI'!$A$1:$P$72</definedName>
    <definedName name="_xlnm.Print_Area" localSheetId="12">'GS FAIR - SEC'!$A$1:$P$72</definedName>
    <definedName name="_xlnm.Print_Area" localSheetId="15">'GS PRI'!$A$1:$P$79</definedName>
    <definedName name="_xlnm.Print_Area" localSheetId="22">'GS PRI OAD'!$A$1:$P$73</definedName>
    <definedName name="_xlnm.Print_Area" localSheetId="14">'GS SEC'!$A$1:$P$79</definedName>
    <definedName name="_xlnm.Print_Area" localSheetId="21">'GS SEC OAD'!$A$1:$P$73</definedName>
    <definedName name="_xlnm.Print_Area" localSheetId="10">'GS TOD Bundled'!$A$1:$P$64</definedName>
    <definedName name="_xlnm.Print_Area" localSheetId="16">'GS TRANS'!$A$1:$P$78</definedName>
    <definedName name="_xlnm.Print_Area" localSheetId="23">'GS TRANS - OAD'!$A$1:$P$72</definedName>
    <definedName name="_xlnm.Print_Area" localSheetId="8">'GS-1 Bundled'!$A$1:$P$65</definedName>
    <definedName name="_xlnm.Print_Area" localSheetId="19">'GS-1 Open'!$A$1:$P$61</definedName>
    <definedName name="_xlnm.Print_Area" localSheetId="11">'GS-PEV'!$A$1:$P$66</definedName>
    <definedName name="_xlnm.Print_Area" localSheetId="20">'GS-PEV OAD'!$A$1:$P$66</definedName>
    <definedName name="_xlnm.Print_Area" localSheetId="9">'GS-TOU Bundled'!$A$1:$P$66</definedName>
    <definedName name="_xlnm.Print_Area" localSheetId="1">'Rider Def'!$A$1:$A$34</definedName>
    <definedName name="_xlnm.Print_Area" localSheetId="24">'Rider Rates'!$A$1:$G$139</definedName>
    <definedName name="_xlnm.Print_Area" localSheetId="3">'RLM Bundled'!$A$1:$P$61</definedName>
    <definedName name="_xlnm.Print_Area" localSheetId="2">'RR Bundled'!$A$1:$P$67</definedName>
    <definedName name="_xlnm.Print_Area" localSheetId="17">'RR Open Access'!$A$1:$P$63</definedName>
    <definedName name="_xlnm.Print_Area" localSheetId="7">'RR PEV'!$A$1:$P$68</definedName>
    <definedName name="_xlnm.Print_Area" localSheetId="6">'RS TOD Bundled'!$A$1:$P$62</definedName>
    <definedName name="_xlnm.Print_Area" localSheetId="5">'RS TOU Bundled'!$A$1:$P$68</definedName>
    <definedName name="_xlnm.Print_Area" localSheetId="4">'RSDM Bundled'!$A$1:$P$60</definedName>
    <definedName name="_xlnm.Print_Area" localSheetId="18">'RSDM Open'!$A$1:$P$56</definedName>
    <definedName name="_xlnm.Print_Titles" localSheetId="24">'Rider Rates'!$1:$2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4" i="148" l="1"/>
  <c r="I54" i="148"/>
  <c r="J54" i="148" s="1"/>
  <c r="N54" i="148" s="1"/>
  <c r="O54" i="148" s="1"/>
  <c r="P53" i="148"/>
  <c r="J53" i="148"/>
  <c r="I53" i="148"/>
  <c r="P52" i="148"/>
  <c r="I52" i="148"/>
  <c r="J52" i="148" s="1"/>
  <c r="P51" i="148"/>
  <c r="J51" i="148"/>
  <c r="I51" i="148"/>
  <c r="P50" i="148"/>
  <c r="J50" i="148"/>
  <c r="I50" i="148"/>
  <c r="P49" i="148"/>
  <c r="J49" i="148"/>
  <c r="P48" i="148"/>
  <c r="I48" i="148"/>
  <c r="N48" i="148" s="1"/>
  <c r="O48" i="148" s="1"/>
  <c r="P47" i="148"/>
  <c r="N47" i="148"/>
  <c r="O47" i="148" s="1"/>
  <c r="I47" i="148"/>
  <c r="J47" i="148" s="1"/>
  <c r="P46" i="148"/>
  <c r="J46" i="148"/>
  <c r="I46" i="148"/>
  <c r="P45" i="148"/>
  <c r="J45" i="148"/>
  <c r="P44" i="148"/>
  <c r="J44" i="148"/>
  <c r="I44" i="148"/>
  <c r="N44" i="148" s="1"/>
  <c r="O44" i="148" s="1"/>
  <c r="P43" i="148"/>
  <c r="J43" i="148"/>
  <c r="I43" i="148"/>
  <c r="P42" i="148"/>
  <c r="I42" i="148"/>
  <c r="J42" i="148" s="1"/>
  <c r="J41" i="148"/>
  <c r="N41" i="148" s="1"/>
  <c r="O41" i="148" s="1"/>
  <c r="I41" i="148"/>
  <c r="P40" i="148"/>
  <c r="J40" i="148"/>
  <c r="I40" i="148"/>
  <c r="P39" i="148"/>
  <c r="H39" i="148"/>
  <c r="J39" i="148" s="1"/>
  <c r="P38" i="148"/>
  <c r="I38" i="148"/>
  <c r="J38" i="148" s="1"/>
  <c r="P37" i="148"/>
  <c r="J37" i="148"/>
  <c r="P36" i="148"/>
  <c r="J36" i="148"/>
  <c r="P35" i="148"/>
  <c r="J35" i="148"/>
  <c r="P34" i="148"/>
  <c r="J34" i="148"/>
  <c r="P33" i="148"/>
  <c r="I33" i="148"/>
  <c r="J33" i="148" s="1"/>
  <c r="P32" i="148"/>
  <c r="J32" i="148"/>
  <c r="I32" i="148"/>
  <c r="P31" i="148"/>
  <c r="I31" i="148"/>
  <c r="J31" i="148" s="1"/>
  <c r="P30" i="148"/>
  <c r="I30" i="148"/>
  <c r="J30" i="148" s="1"/>
  <c r="P29" i="148"/>
  <c r="I29" i="148"/>
  <c r="J29" i="148" s="1"/>
  <c r="P28" i="148"/>
  <c r="J28" i="148"/>
  <c r="I28" i="148"/>
  <c r="P27" i="148"/>
  <c r="I27" i="148"/>
  <c r="J27" i="148" s="1"/>
  <c r="J22" i="148"/>
  <c r="N21" i="148"/>
  <c r="O21" i="148" s="1"/>
  <c r="J21" i="148"/>
  <c r="C17" i="148"/>
  <c r="D36" i="148" s="1"/>
  <c r="O36" i="148" s="1"/>
  <c r="C16" i="148"/>
  <c r="D34" i="148" s="1"/>
  <c r="C15" i="148"/>
  <c r="D39" i="148" s="1"/>
  <c r="M39" i="148" s="1"/>
  <c r="AD13" i="148"/>
  <c r="AC13" i="148"/>
  <c r="AB13" i="148"/>
  <c r="AA13" i="148"/>
  <c r="Z13" i="148"/>
  <c r="Y13" i="148"/>
  <c r="X13" i="148"/>
  <c r="W13" i="148"/>
  <c r="V13" i="148"/>
  <c r="U13" i="148"/>
  <c r="T13" i="148"/>
  <c r="S13" i="148"/>
  <c r="D11" i="148"/>
  <c r="B11" i="148"/>
  <c r="C11" i="148" s="1"/>
  <c r="C10" i="148"/>
  <c r="C9" i="148"/>
  <c r="A6" i="148"/>
  <c r="A4" i="148"/>
  <c r="P54" i="147"/>
  <c r="J54" i="147"/>
  <c r="N54" i="147" s="1"/>
  <c r="O54" i="147" s="1"/>
  <c r="I54" i="147"/>
  <c r="P53" i="147"/>
  <c r="I53" i="147"/>
  <c r="J53" i="147" s="1"/>
  <c r="P52" i="147"/>
  <c r="J52" i="147"/>
  <c r="I52" i="147"/>
  <c r="P51" i="147"/>
  <c r="I51" i="147"/>
  <c r="J51" i="147" s="1"/>
  <c r="P50" i="147"/>
  <c r="I50" i="147"/>
  <c r="J50" i="147" s="1"/>
  <c r="P49" i="147"/>
  <c r="G49" i="147"/>
  <c r="J49" i="147" s="1"/>
  <c r="P48" i="147"/>
  <c r="N48" i="147"/>
  <c r="O48" i="147" s="1"/>
  <c r="J48" i="147"/>
  <c r="I48" i="147"/>
  <c r="P47" i="147"/>
  <c r="J47" i="147"/>
  <c r="I47" i="147"/>
  <c r="N47" i="147" s="1"/>
  <c r="O47" i="147" s="1"/>
  <c r="P46" i="147"/>
  <c r="I46" i="147"/>
  <c r="J46" i="147" s="1"/>
  <c r="P45" i="147"/>
  <c r="J45" i="147"/>
  <c r="P44" i="147"/>
  <c r="I44" i="147"/>
  <c r="N44" i="147" s="1"/>
  <c r="O44" i="147" s="1"/>
  <c r="P43" i="147"/>
  <c r="J43" i="147"/>
  <c r="I43" i="147"/>
  <c r="P42" i="147"/>
  <c r="I42" i="147"/>
  <c r="J42" i="147" s="1"/>
  <c r="I41" i="147"/>
  <c r="J41" i="147" s="1"/>
  <c r="N41" i="147" s="1"/>
  <c r="O41" i="147" s="1"/>
  <c r="P40" i="147"/>
  <c r="J40" i="147"/>
  <c r="I40" i="147"/>
  <c r="P39" i="147"/>
  <c r="H39" i="147"/>
  <c r="J39" i="147" s="1"/>
  <c r="P38" i="147"/>
  <c r="J38" i="147"/>
  <c r="I38" i="147"/>
  <c r="P37" i="147"/>
  <c r="G37" i="147"/>
  <c r="J37" i="147" s="1"/>
  <c r="P36" i="147"/>
  <c r="J36" i="147"/>
  <c r="G36" i="147"/>
  <c r="P35" i="147"/>
  <c r="G35" i="147"/>
  <c r="J35" i="147" s="1"/>
  <c r="P34" i="147"/>
  <c r="J34" i="147"/>
  <c r="G34" i="147"/>
  <c r="P33" i="147"/>
  <c r="I33" i="147"/>
  <c r="J33" i="147" s="1"/>
  <c r="P32" i="147"/>
  <c r="J32" i="147"/>
  <c r="I32" i="147"/>
  <c r="P31" i="147"/>
  <c r="I31" i="147"/>
  <c r="J31" i="147" s="1"/>
  <c r="P30" i="147"/>
  <c r="J30" i="147"/>
  <c r="I30" i="147"/>
  <c r="P29" i="147"/>
  <c r="J29" i="147"/>
  <c r="I29" i="147"/>
  <c r="P28" i="147"/>
  <c r="J28" i="147"/>
  <c r="I28" i="147"/>
  <c r="P27" i="147"/>
  <c r="I27" i="147"/>
  <c r="J27" i="147" s="1"/>
  <c r="J22" i="147"/>
  <c r="O21" i="147"/>
  <c r="N21" i="147"/>
  <c r="J21" i="147"/>
  <c r="C17" i="147"/>
  <c r="D36" i="147" s="1"/>
  <c r="L36" i="147" s="1"/>
  <c r="O36" i="147" s="1"/>
  <c r="C16" i="147"/>
  <c r="D35" i="147" s="1"/>
  <c r="L35" i="147" s="1"/>
  <c r="O35" i="147" s="1"/>
  <c r="C15" i="147"/>
  <c r="AD13" i="147"/>
  <c r="AC13" i="147"/>
  <c r="AB13" i="147"/>
  <c r="AA13" i="147"/>
  <c r="Z13" i="147"/>
  <c r="Y13" i="147"/>
  <c r="X13" i="147"/>
  <c r="W13" i="147"/>
  <c r="V13" i="147"/>
  <c r="U13" i="147"/>
  <c r="T13" i="147"/>
  <c r="S13" i="147"/>
  <c r="D11" i="147"/>
  <c r="B11" i="147"/>
  <c r="C11" i="147" s="1"/>
  <c r="C10" i="147"/>
  <c r="C9" i="147"/>
  <c r="A6" i="147"/>
  <c r="A4" i="147"/>
  <c r="D50" i="120"/>
  <c r="B25" i="120"/>
  <c r="B28" i="120"/>
  <c r="C25" i="120"/>
  <c r="AC12" i="136" s="1"/>
  <c r="C24" i="120"/>
  <c r="AC12" i="142" s="1"/>
  <c r="C23" i="120"/>
  <c r="T12" i="138" s="1"/>
  <c r="C22" i="120"/>
  <c r="AB13" i="133" s="1"/>
  <c r="C21" i="120"/>
  <c r="T19" i="132" s="1"/>
  <c r="B24" i="120"/>
  <c r="G40" i="129" s="1"/>
  <c r="J40" i="129" s="1"/>
  <c r="B23" i="120"/>
  <c r="AA12" i="141" s="1"/>
  <c r="B22" i="120"/>
  <c r="G31" i="119" s="1"/>
  <c r="J31" i="119" s="1"/>
  <c r="B21" i="120"/>
  <c r="X15" i="126" s="1"/>
  <c r="B43" i="120"/>
  <c r="B42" i="120"/>
  <c r="B41" i="120"/>
  <c r="B40" i="120"/>
  <c r="B38" i="120"/>
  <c r="B37" i="120"/>
  <c r="B36" i="120"/>
  <c r="B34" i="120"/>
  <c r="B33" i="120"/>
  <c r="B32" i="120"/>
  <c r="C31" i="120"/>
  <c r="AD18" i="132" s="1"/>
  <c r="C30" i="120"/>
  <c r="AD17" i="132" s="1"/>
  <c r="C29" i="120"/>
  <c r="AB16" i="132" s="1"/>
  <c r="B30" i="120"/>
  <c r="B29" i="120"/>
  <c r="Y16" i="100" s="1"/>
  <c r="P61" i="145"/>
  <c r="P60" i="145"/>
  <c r="P59" i="145"/>
  <c r="P58" i="145"/>
  <c r="P57" i="145"/>
  <c r="P56" i="145"/>
  <c r="P55" i="145"/>
  <c r="P54" i="145"/>
  <c r="P53" i="145"/>
  <c r="P52" i="145"/>
  <c r="P51" i="145"/>
  <c r="P50" i="145"/>
  <c r="P49" i="145"/>
  <c r="P48" i="145"/>
  <c r="P47" i="145"/>
  <c r="P46" i="145"/>
  <c r="P45" i="145"/>
  <c r="P44" i="145"/>
  <c r="P43" i="145"/>
  <c r="P42" i="145"/>
  <c r="P41" i="145"/>
  <c r="P40" i="145"/>
  <c r="P39" i="145"/>
  <c r="P38" i="145"/>
  <c r="P37" i="145"/>
  <c r="P36" i="145"/>
  <c r="P35" i="145"/>
  <c r="P34" i="145"/>
  <c r="G41" i="130"/>
  <c r="H39" i="139"/>
  <c r="J39" i="139" s="1"/>
  <c r="H40" i="136"/>
  <c r="J40" i="136" s="1"/>
  <c r="H41" i="142"/>
  <c r="J41" i="142" s="1"/>
  <c r="I39" i="136"/>
  <c r="J39" i="136" s="1"/>
  <c r="D49" i="120"/>
  <c r="D67" i="136"/>
  <c r="L56" i="136"/>
  <c r="L58" i="136" s="1"/>
  <c r="P54" i="136"/>
  <c r="I54" i="136"/>
  <c r="J54" i="136" s="1"/>
  <c r="N54" i="136" s="1"/>
  <c r="O54" i="136" s="1"/>
  <c r="P53" i="136"/>
  <c r="I53" i="136"/>
  <c r="J53" i="136" s="1"/>
  <c r="P52" i="136"/>
  <c r="I52" i="136"/>
  <c r="J52" i="136" s="1"/>
  <c r="P51" i="136"/>
  <c r="I51" i="136"/>
  <c r="J51" i="136" s="1"/>
  <c r="P50" i="136"/>
  <c r="I50" i="136"/>
  <c r="J50" i="136" s="1"/>
  <c r="P49" i="136"/>
  <c r="I49" i="136"/>
  <c r="N49" i="136" s="1"/>
  <c r="O49" i="136" s="1"/>
  <c r="P48" i="136"/>
  <c r="I48" i="136"/>
  <c r="P47" i="136"/>
  <c r="I47" i="136"/>
  <c r="J47" i="136" s="1"/>
  <c r="P46" i="136"/>
  <c r="I46" i="136"/>
  <c r="N46" i="136" s="1"/>
  <c r="O46" i="136" s="1"/>
  <c r="P45" i="136"/>
  <c r="I45" i="136"/>
  <c r="J45" i="136" s="1"/>
  <c r="P44" i="136"/>
  <c r="I44" i="136"/>
  <c r="I43" i="136"/>
  <c r="J43" i="136" s="1"/>
  <c r="P42" i="136"/>
  <c r="I42" i="136"/>
  <c r="J42" i="136" s="1"/>
  <c r="P41" i="136"/>
  <c r="H41" i="136"/>
  <c r="P40" i="136"/>
  <c r="P39" i="136"/>
  <c r="P38" i="136"/>
  <c r="I38" i="136"/>
  <c r="J38" i="136" s="1"/>
  <c r="P37" i="136"/>
  <c r="I37" i="136"/>
  <c r="J37" i="136" s="1"/>
  <c r="P36" i="136"/>
  <c r="I36" i="136"/>
  <c r="J36" i="136" s="1"/>
  <c r="P35" i="136"/>
  <c r="J35" i="136"/>
  <c r="I35" i="136"/>
  <c r="P34" i="136"/>
  <c r="I34" i="136"/>
  <c r="J34" i="136" s="1"/>
  <c r="P33" i="136"/>
  <c r="I33" i="136"/>
  <c r="J33" i="136" s="1"/>
  <c r="J28" i="136"/>
  <c r="J27" i="136"/>
  <c r="C17" i="136"/>
  <c r="C16" i="136"/>
  <c r="D39" i="136" s="1"/>
  <c r="C15" i="136"/>
  <c r="C14" i="136"/>
  <c r="AD12" i="136"/>
  <c r="AA12" i="136"/>
  <c r="Z12" i="136"/>
  <c r="W12" i="136"/>
  <c r="V12" i="136"/>
  <c r="S12" i="136"/>
  <c r="D10" i="136"/>
  <c r="B10" i="136"/>
  <c r="C10" i="136" s="1"/>
  <c r="C9" i="136"/>
  <c r="C8" i="136"/>
  <c r="A6" i="136"/>
  <c r="A4" i="136"/>
  <c r="D68" i="142"/>
  <c r="L57" i="142"/>
  <c r="L59" i="142" s="1"/>
  <c r="P55" i="142"/>
  <c r="I55" i="142"/>
  <c r="J55" i="142" s="1"/>
  <c r="N55" i="142" s="1"/>
  <c r="O55" i="142" s="1"/>
  <c r="P54" i="142"/>
  <c r="J54" i="142"/>
  <c r="I54" i="142"/>
  <c r="P53" i="142"/>
  <c r="I53" i="142"/>
  <c r="J53" i="142" s="1"/>
  <c r="P52" i="142"/>
  <c r="I52" i="142"/>
  <c r="J52" i="142" s="1"/>
  <c r="P51" i="142"/>
  <c r="I51" i="142"/>
  <c r="J51" i="142" s="1"/>
  <c r="P50" i="142"/>
  <c r="I50" i="142"/>
  <c r="N50" i="142" s="1"/>
  <c r="O50" i="142" s="1"/>
  <c r="P49" i="142"/>
  <c r="I49" i="142"/>
  <c r="J49" i="142" s="1"/>
  <c r="P48" i="142"/>
  <c r="I48" i="142"/>
  <c r="J48" i="142" s="1"/>
  <c r="P47" i="142"/>
  <c r="I47" i="142"/>
  <c r="J47" i="142" s="1"/>
  <c r="P46" i="142"/>
  <c r="I46" i="142"/>
  <c r="P45" i="142"/>
  <c r="I45" i="142"/>
  <c r="J45" i="142" s="1"/>
  <c r="P44" i="142"/>
  <c r="I44" i="142"/>
  <c r="J44" i="142" s="1"/>
  <c r="P43" i="142"/>
  <c r="I43" i="142"/>
  <c r="J43" i="142" s="1"/>
  <c r="P42" i="142"/>
  <c r="H42" i="142"/>
  <c r="J42" i="142" s="1"/>
  <c r="P41" i="142"/>
  <c r="P40" i="142"/>
  <c r="P39" i="142"/>
  <c r="I39" i="142"/>
  <c r="J39" i="142" s="1"/>
  <c r="P38" i="142"/>
  <c r="I38" i="142"/>
  <c r="J38" i="142" s="1"/>
  <c r="P37" i="142"/>
  <c r="I37" i="142"/>
  <c r="J37" i="142" s="1"/>
  <c r="P36" i="142"/>
  <c r="I36" i="142"/>
  <c r="J36" i="142" s="1"/>
  <c r="P35" i="142"/>
  <c r="I35" i="142"/>
  <c r="J35" i="142" s="1"/>
  <c r="P34" i="142"/>
  <c r="I34" i="142"/>
  <c r="J34" i="142" s="1"/>
  <c r="J29" i="142"/>
  <c r="J28" i="142"/>
  <c r="N26" i="142"/>
  <c r="O26" i="142" s="1"/>
  <c r="J26" i="142"/>
  <c r="C17" i="142"/>
  <c r="D17" i="142" s="1"/>
  <c r="C16" i="142"/>
  <c r="D53" i="142" s="1"/>
  <c r="C15" i="142"/>
  <c r="C14" i="142"/>
  <c r="AD12" i="142"/>
  <c r="W12" i="142"/>
  <c r="S12" i="142"/>
  <c r="D10" i="142"/>
  <c r="B10" i="142"/>
  <c r="C10" i="142" s="1"/>
  <c r="C9" i="142"/>
  <c r="C8" i="142"/>
  <c r="A6" i="142"/>
  <c r="A4" i="142"/>
  <c r="D68" i="141"/>
  <c r="L59" i="141"/>
  <c r="L57" i="141"/>
  <c r="P55" i="141"/>
  <c r="J55" i="141"/>
  <c r="N55" i="141" s="1"/>
  <c r="O55" i="141" s="1"/>
  <c r="I55" i="141"/>
  <c r="P54" i="141"/>
  <c r="I54" i="141"/>
  <c r="J54" i="141" s="1"/>
  <c r="P53" i="141"/>
  <c r="I53" i="141"/>
  <c r="J53" i="141" s="1"/>
  <c r="P52" i="141"/>
  <c r="I52" i="141"/>
  <c r="J52" i="141" s="1"/>
  <c r="P51" i="141"/>
  <c r="I51" i="141"/>
  <c r="J51" i="141" s="1"/>
  <c r="P50" i="141"/>
  <c r="I50" i="141"/>
  <c r="P49" i="141"/>
  <c r="I49" i="141"/>
  <c r="N49" i="141" s="1"/>
  <c r="O49" i="141" s="1"/>
  <c r="P48" i="141"/>
  <c r="I48" i="141"/>
  <c r="J48" i="141" s="1"/>
  <c r="P47" i="141"/>
  <c r="I47" i="141"/>
  <c r="N47" i="141" s="1"/>
  <c r="O47" i="141" s="1"/>
  <c r="P46" i="141"/>
  <c r="I46" i="141"/>
  <c r="J46" i="141" s="1"/>
  <c r="P45" i="141"/>
  <c r="I45" i="141"/>
  <c r="J45" i="141" s="1"/>
  <c r="P44" i="141"/>
  <c r="J44" i="141"/>
  <c r="I44" i="141"/>
  <c r="P43" i="141"/>
  <c r="I43" i="141"/>
  <c r="J43" i="141" s="1"/>
  <c r="P42" i="141"/>
  <c r="J42" i="141"/>
  <c r="H42" i="141"/>
  <c r="P41" i="141"/>
  <c r="H41" i="141"/>
  <c r="J41" i="141" s="1"/>
  <c r="P40" i="141"/>
  <c r="P39" i="141"/>
  <c r="I39" i="141"/>
  <c r="J39" i="141" s="1"/>
  <c r="P38" i="141"/>
  <c r="I38" i="141"/>
  <c r="J38" i="141" s="1"/>
  <c r="P37" i="141"/>
  <c r="I37" i="141"/>
  <c r="J37" i="141" s="1"/>
  <c r="P36" i="141"/>
  <c r="I36" i="141"/>
  <c r="J36" i="141" s="1"/>
  <c r="P35" i="141"/>
  <c r="I35" i="141"/>
  <c r="J35" i="141" s="1"/>
  <c r="P34" i="141"/>
  <c r="J34" i="141"/>
  <c r="I34" i="141"/>
  <c r="J29" i="141"/>
  <c r="J28" i="141"/>
  <c r="N26" i="141"/>
  <c r="O26" i="141" s="1"/>
  <c r="J26" i="141"/>
  <c r="C17" i="141"/>
  <c r="C16" i="141"/>
  <c r="D51" i="141" s="1"/>
  <c r="N51" i="141" s="1"/>
  <c r="O51" i="141" s="1"/>
  <c r="C15" i="141"/>
  <c r="C14" i="141"/>
  <c r="AD12" i="141"/>
  <c r="AC12" i="141"/>
  <c r="AB12" i="141"/>
  <c r="Z12" i="141"/>
  <c r="Y12" i="141"/>
  <c r="W12" i="141"/>
  <c r="U12" i="141"/>
  <c r="T12" i="141"/>
  <c r="S12" i="141"/>
  <c r="D10" i="141"/>
  <c r="B10" i="141"/>
  <c r="C10" i="141" s="1"/>
  <c r="C9" i="141"/>
  <c r="C8" i="141"/>
  <c r="A6" i="141"/>
  <c r="A4" i="141"/>
  <c r="L51" i="133"/>
  <c r="L53" i="133" s="1"/>
  <c r="P49" i="133"/>
  <c r="I49" i="133"/>
  <c r="J49" i="133" s="1"/>
  <c r="N49" i="133" s="1"/>
  <c r="O49" i="133" s="1"/>
  <c r="P48" i="133"/>
  <c r="I48" i="133"/>
  <c r="J48" i="133" s="1"/>
  <c r="P47" i="133"/>
  <c r="I47" i="133"/>
  <c r="J47" i="133" s="1"/>
  <c r="P46" i="133"/>
  <c r="I46" i="133"/>
  <c r="J46" i="133" s="1"/>
  <c r="P45" i="133"/>
  <c r="J45" i="133"/>
  <c r="I45" i="133"/>
  <c r="P44" i="133"/>
  <c r="J44" i="133"/>
  <c r="I44" i="133"/>
  <c r="N44" i="133" s="1"/>
  <c r="O44" i="133" s="1"/>
  <c r="P43" i="133"/>
  <c r="I43" i="133"/>
  <c r="N43" i="133" s="1"/>
  <c r="O43" i="133" s="1"/>
  <c r="P42" i="133"/>
  <c r="I42" i="133"/>
  <c r="J42" i="133" s="1"/>
  <c r="P41" i="133"/>
  <c r="I41" i="133"/>
  <c r="N41" i="133" s="1"/>
  <c r="O41" i="133" s="1"/>
  <c r="P40" i="133"/>
  <c r="I40" i="133"/>
  <c r="P39" i="133"/>
  <c r="I39" i="133"/>
  <c r="J39" i="133" s="1"/>
  <c r="P38" i="133"/>
  <c r="I38" i="133"/>
  <c r="J38" i="133" s="1"/>
  <c r="N38" i="133" s="1"/>
  <c r="O38" i="133" s="1"/>
  <c r="P37" i="133"/>
  <c r="I37" i="133"/>
  <c r="J37" i="133" s="1"/>
  <c r="P36" i="133"/>
  <c r="H36" i="133"/>
  <c r="J36" i="133" s="1"/>
  <c r="P35" i="133"/>
  <c r="P34" i="133"/>
  <c r="I34" i="133"/>
  <c r="J34" i="133" s="1"/>
  <c r="P33" i="133"/>
  <c r="I33" i="133"/>
  <c r="J33" i="133" s="1"/>
  <c r="P32" i="133"/>
  <c r="I32" i="133"/>
  <c r="J32" i="133" s="1"/>
  <c r="P31" i="133"/>
  <c r="J31" i="133"/>
  <c r="I31" i="133"/>
  <c r="P30" i="133"/>
  <c r="J30" i="133"/>
  <c r="I30" i="133"/>
  <c r="P29" i="133"/>
  <c r="I29" i="133"/>
  <c r="J29" i="133" s="1"/>
  <c r="P28" i="133"/>
  <c r="I28" i="133"/>
  <c r="J28" i="133" s="1"/>
  <c r="J23" i="133"/>
  <c r="J22" i="133"/>
  <c r="O21" i="133"/>
  <c r="N21" i="133"/>
  <c r="J21" i="133"/>
  <c r="C15" i="133"/>
  <c r="D35" i="133" s="1"/>
  <c r="AD13" i="133"/>
  <c r="AC13" i="133"/>
  <c r="X13" i="133"/>
  <c r="U13" i="133"/>
  <c r="T13" i="133"/>
  <c r="S13" i="133"/>
  <c r="D11" i="133"/>
  <c r="B11" i="133"/>
  <c r="C11" i="133" s="1"/>
  <c r="C10" i="133"/>
  <c r="C9" i="133"/>
  <c r="A6" i="133"/>
  <c r="A4" i="133"/>
  <c r="L47" i="132"/>
  <c r="L49" i="132" s="1"/>
  <c r="P45" i="132"/>
  <c r="I45" i="132"/>
  <c r="J45" i="132" s="1"/>
  <c r="N45" i="132" s="1"/>
  <c r="O45" i="132" s="1"/>
  <c r="P44" i="132"/>
  <c r="I44" i="132"/>
  <c r="J44" i="132" s="1"/>
  <c r="P43" i="132"/>
  <c r="I43" i="132"/>
  <c r="J43" i="132" s="1"/>
  <c r="N43" i="132" s="1"/>
  <c r="O43" i="132" s="1"/>
  <c r="P42" i="132"/>
  <c r="I42" i="132"/>
  <c r="J42" i="132" s="1"/>
  <c r="P41" i="132"/>
  <c r="I41" i="132"/>
  <c r="J41" i="132" s="1"/>
  <c r="P40" i="132"/>
  <c r="I40" i="132"/>
  <c r="N40" i="132" s="1"/>
  <c r="O40" i="132" s="1"/>
  <c r="P39" i="132"/>
  <c r="I39" i="132"/>
  <c r="J39" i="132" s="1"/>
  <c r="P38" i="132"/>
  <c r="I38" i="132"/>
  <c r="J38" i="132" s="1"/>
  <c r="P37" i="132"/>
  <c r="I37" i="132"/>
  <c r="J37" i="132" s="1"/>
  <c r="P36" i="132"/>
  <c r="I36" i="132"/>
  <c r="J36" i="132" s="1"/>
  <c r="P35" i="132"/>
  <c r="J35" i="132"/>
  <c r="I35" i="132"/>
  <c r="P34" i="132"/>
  <c r="P33" i="132"/>
  <c r="I33" i="132"/>
  <c r="J33" i="132" s="1"/>
  <c r="N33" i="132" s="1"/>
  <c r="O33" i="132" s="1"/>
  <c r="P32" i="132"/>
  <c r="I32" i="132"/>
  <c r="J32" i="132" s="1"/>
  <c r="P31" i="132"/>
  <c r="I31" i="132"/>
  <c r="J31" i="132" s="1"/>
  <c r="P30" i="132"/>
  <c r="J30" i="132"/>
  <c r="I30" i="132"/>
  <c r="P29" i="132"/>
  <c r="I29" i="132"/>
  <c r="J29" i="132" s="1"/>
  <c r="P28" i="132"/>
  <c r="I28" i="132"/>
  <c r="J28" i="132" s="1"/>
  <c r="P27" i="132"/>
  <c r="I27" i="132"/>
  <c r="J27" i="132" s="1"/>
  <c r="P26" i="132"/>
  <c r="I26" i="132"/>
  <c r="J26" i="132" s="1"/>
  <c r="P25" i="132"/>
  <c r="I25" i="132"/>
  <c r="J25" i="132" s="1"/>
  <c r="J20" i="132"/>
  <c r="AD19" i="132"/>
  <c r="AB19" i="132"/>
  <c r="W19" i="132"/>
  <c r="V19" i="132"/>
  <c r="U19" i="132"/>
  <c r="S19" i="132"/>
  <c r="O19" i="132"/>
  <c r="N19" i="132"/>
  <c r="J19" i="132"/>
  <c r="AA18" i="132"/>
  <c r="Z18" i="132"/>
  <c r="Y18" i="132"/>
  <c r="X18" i="132"/>
  <c r="W18" i="132"/>
  <c r="U18" i="132"/>
  <c r="AA17" i="132"/>
  <c r="Z17" i="132"/>
  <c r="Y17" i="132"/>
  <c r="X17" i="132"/>
  <c r="W17" i="132"/>
  <c r="AC16" i="132"/>
  <c r="Z16" i="132"/>
  <c r="Y16" i="132"/>
  <c r="X16" i="132"/>
  <c r="T16" i="132"/>
  <c r="C15" i="132"/>
  <c r="D20" i="132" s="1"/>
  <c r="C14" i="132"/>
  <c r="D29" i="132" s="1"/>
  <c r="D10" i="132"/>
  <c r="B10" i="132"/>
  <c r="C10" i="132" s="1"/>
  <c r="C9" i="132"/>
  <c r="C8" i="132"/>
  <c r="A5" i="132"/>
  <c r="L53" i="131"/>
  <c r="L55" i="131" s="1"/>
  <c r="P51" i="131"/>
  <c r="I51" i="131"/>
  <c r="J51" i="131" s="1"/>
  <c r="N51" i="131" s="1"/>
  <c r="O51" i="131" s="1"/>
  <c r="P50" i="131"/>
  <c r="I50" i="131"/>
  <c r="J50" i="131" s="1"/>
  <c r="P49" i="131"/>
  <c r="J49" i="131"/>
  <c r="N49" i="131" s="1"/>
  <c r="O49" i="131" s="1"/>
  <c r="I49" i="131"/>
  <c r="P48" i="131"/>
  <c r="I48" i="131"/>
  <c r="J48" i="131" s="1"/>
  <c r="P47" i="131"/>
  <c r="I47" i="131"/>
  <c r="N47" i="131" s="1"/>
  <c r="O47" i="131" s="1"/>
  <c r="P46" i="131"/>
  <c r="N46" i="131"/>
  <c r="O46" i="131" s="1"/>
  <c r="J46" i="131"/>
  <c r="I46" i="131"/>
  <c r="P45" i="131"/>
  <c r="I45" i="131"/>
  <c r="J45" i="131" s="1"/>
  <c r="P44" i="131"/>
  <c r="I44" i="131"/>
  <c r="N44" i="131" s="1"/>
  <c r="O44" i="131" s="1"/>
  <c r="P43" i="131"/>
  <c r="I43" i="131"/>
  <c r="J43" i="131" s="1"/>
  <c r="P42" i="131"/>
  <c r="I42" i="131"/>
  <c r="J42" i="131" s="1"/>
  <c r="P41" i="131"/>
  <c r="I41" i="131"/>
  <c r="J41" i="131" s="1"/>
  <c r="P40" i="131"/>
  <c r="P39" i="131"/>
  <c r="I39" i="131"/>
  <c r="J39" i="131" s="1"/>
  <c r="N39" i="131" s="1"/>
  <c r="O39" i="131" s="1"/>
  <c r="P38" i="131"/>
  <c r="I38" i="131"/>
  <c r="J38" i="131" s="1"/>
  <c r="P37" i="131"/>
  <c r="I37" i="131"/>
  <c r="J37" i="131" s="1"/>
  <c r="P36" i="131"/>
  <c r="I36" i="131"/>
  <c r="J36" i="131" s="1"/>
  <c r="P35" i="131"/>
  <c r="I35" i="131"/>
  <c r="J35" i="131" s="1"/>
  <c r="P34" i="131"/>
  <c r="J34" i="131"/>
  <c r="I34" i="131"/>
  <c r="P33" i="131"/>
  <c r="J33" i="131"/>
  <c r="I33" i="131"/>
  <c r="P32" i="131"/>
  <c r="I32" i="131"/>
  <c r="J32" i="131" s="1"/>
  <c r="P31" i="131"/>
  <c r="I31" i="131"/>
  <c r="J31" i="131" s="1"/>
  <c r="J26" i="131"/>
  <c r="O25" i="131"/>
  <c r="N25" i="131"/>
  <c r="J25" i="131"/>
  <c r="D17" i="131"/>
  <c r="D11" i="131"/>
  <c r="B11" i="131"/>
  <c r="C11" i="131" s="1"/>
  <c r="C10" i="131"/>
  <c r="C9" i="131"/>
  <c r="A6" i="131"/>
  <c r="A4" i="131"/>
  <c r="D73" i="130"/>
  <c r="P60" i="130"/>
  <c r="N60" i="130"/>
  <c r="O60" i="130" s="1"/>
  <c r="J60" i="130"/>
  <c r="I60" i="130"/>
  <c r="P59" i="130"/>
  <c r="J59" i="130"/>
  <c r="I59" i="130"/>
  <c r="P58" i="130"/>
  <c r="I58" i="130"/>
  <c r="J58" i="130" s="1"/>
  <c r="P57" i="130"/>
  <c r="I57" i="130"/>
  <c r="J57" i="130" s="1"/>
  <c r="P56" i="130"/>
  <c r="I56" i="130"/>
  <c r="J56" i="130" s="1"/>
  <c r="P55" i="130"/>
  <c r="J55" i="130"/>
  <c r="G55" i="130"/>
  <c r="D55" i="130"/>
  <c r="L55" i="130" s="1"/>
  <c r="O55" i="130" s="1"/>
  <c r="P54" i="130"/>
  <c r="N54" i="130"/>
  <c r="O54" i="130" s="1"/>
  <c r="I54" i="130"/>
  <c r="J54" i="130" s="1"/>
  <c r="P53" i="130"/>
  <c r="N53" i="130"/>
  <c r="O53" i="130" s="1"/>
  <c r="J53" i="130"/>
  <c r="I53" i="130"/>
  <c r="P52" i="130"/>
  <c r="I52" i="130"/>
  <c r="J52" i="130" s="1"/>
  <c r="P51" i="130"/>
  <c r="J51" i="130"/>
  <c r="P50" i="130"/>
  <c r="J50" i="130"/>
  <c r="P49" i="130"/>
  <c r="I49" i="130"/>
  <c r="N49" i="130" s="1"/>
  <c r="O49" i="130" s="1"/>
  <c r="P48" i="130"/>
  <c r="I48" i="130"/>
  <c r="J48" i="130" s="1"/>
  <c r="P47" i="130"/>
  <c r="I47" i="130"/>
  <c r="J47" i="130" s="1"/>
  <c r="I46" i="130"/>
  <c r="J46" i="130" s="1"/>
  <c r="P45" i="130"/>
  <c r="I45" i="130"/>
  <c r="J45" i="130" s="1"/>
  <c r="P44" i="130"/>
  <c r="H44" i="130"/>
  <c r="P43" i="130"/>
  <c r="H43" i="130"/>
  <c r="J43" i="130" s="1"/>
  <c r="P42" i="130"/>
  <c r="P41" i="130"/>
  <c r="D41" i="130"/>
  <c r="P40" i="130"/>
  <c r="G40" i="130"/>
  <c r="J40" i="130" s="1"/>
  <c r="D40" i="130"/>
  <c r="P39" i="130"/>
  <c r="G39" i="130"/>
  <c r="J39" i="130" s="1"/>
  <c r="D39" i="130"/>
  <c r="L39" i="130" s="1"/>
  <c r="O39" i="130" s="1"/>
  <c r="P38" i="130"/>
  <c r="I38" i="130"/>
  <c r="J38" i="130" s="1"/>
  <c r="P37" i="130"/>
  <c r="J37" i="130"/>
  <c r="I37" i="130"/>
  <c r="P36" i="130"/>
  <c r="I36" i="130"/>
  <c r="J36" i="130" s="1"/>
  <c r="P35" i="130"/>
  <c r="I35" i="130"/>
  <c r="J35" i="130" s="1"/>
  <c r="P34" i="130"/>
  <c r="I34" i="130"/>
  <c r="J34" i="130" s="1"/>
  <c r="P33" i="130"/>
  <c r="I33" i="130"/>
  <c r="J33" i="130" s="1"/>
  <c r="J28" i="130"/>
  <c r="J27" i="130"/>
  <c r="C17" i="130"/>
  <c r="C16" i="130"/>
  <c r="D43" i="130" s="1"/>
  <c r="C15" i="130"/>
  <c r="C14" i="130"/>
  <c r="AD12" i="130"/>
  <c r="AC12" i="130"/>
  <c r="AB12" i="130"/>
  <c r="AA12" i="130"/>
  <c r="Z12" i="130"/>
  <c r="Y12" i="130"/>
  <c r="X12" i="130"/>
  <c r="W12" i="130"/>
  <c r="V12" i="130"/>
  <c r="U12" i="130"/>
  <c r="T12" i="130"/>
  <c r="S12" i="130"/>
  <c r="D10" i="130"/>
  <c r="B10" i="130"/>
  <c r="C10" i="130" s="1"/>
  <c r="C9" i="130"/>
  <c r="C8" i="130"/>
  <c r="A6" i="130"/>
  <c r="A4" i="130"/>
  <c r="D74" i="129"/>
  <c r="P61" i="129"/>
  <c r="I61" i="129"/>
  <c r="J61" i="129" s="1"/>
  <c r="N61" i="129" s="1"/>
  <c r="O61" i="129" s="1"/>
  <c r="P60" i="129"/>
  <c r="I60" i="129"/>
  <c r="J60" i="129" s="1"/>
  <c r="P59" i="129"/>
  <c r="I59" i="129"/>
  <c r="J59" i="129" s="1"/>
  <c r="P58" i="129"/>
  <c r="I58" i="129"/>
  <c r="J58" i="129" s="1"/>
  <c r="P57" i="129"/>
  <c r="J57" i="129"/>
  <c r="I57" i="129"/>
  <c r="P56" i="129"/>
  <c r="G56" i="129"/>
  <c r="J56" i="129" s="1"/>
  <c r="D56" i="129"/>
  <c r="P55" i="129"/>
  <c r="I55" i="129"/>
  <c r="P54" i="129"/>
  <c r="N54" i="129"/>
  <c r="O54" i="129" s="1"/>
  <c r="I54" i="129"/>
  <c r="J54" i="129" s="1"/>
  <c r="P53" i="129"/>
  <c r="I53" i="129"/>
  <c r="J53" i="129" s="1"/>
  <c r="P52" i="129"/>
  <c r="J52" i="129"/>
  <c r="P51" i="129"/>
  <c r="J51" i="129"/>
  <c r="P50" i="129"/>
  <c r="I50" i="129"/>
  <c r="N50" i="129" s="1"/>
  <c r="O50" i="129" s="1"/>
  <c r="P49" i="129"/>
  <c r="I49" i="129"/>
  <c r="J49" i="129" s="1"/>
  <c r="P48" i="129"/>
  <c r="I48" i="129"/>
  <c r="J48" i="129" s="1"/>
  <c r="P47" i="129"/>
  <c r="J47" i="129"/>
  <c r="I47" i="129"/>
  <c r="P46" i="129"/>
  <c r="J46" i="129"/>
  <c r="I46" i="129"/>
  <c r="P45" i="129"/>
  <c r="H45" i="129"/>
  <c r="J45" i="129" s="1"/>
  <c r="P44" i="129"/>
  <c r="P43" i="129"/>
  <c r="P42" i="129"/>
  <c r="D42" i="129"/>
  <c r="P41" i="129"/>
  <c r="G41" i="129"/>
  <c r="J41" i="129" s="1"/>
  <c r="D41" i="129"/>
  <c r="P40" i="129"/>
  <c r="D40" i="129"/>
  <c r="P39" i="129"/>
  <c r="J39" i="129"/>
  <c r="I39" i="129"/>
  <c r="P38" i="129"/>
  <c r="J38" i="129"/>
  <c r="I38" i="129"/>
  <c r="P37" i="129"/>
  <c r="I37" i="129"/>
  <c r="J37" i="129" s="1"/>
  <c r="P36" i="129"/>
  <c r="I36" i="129"/>
  <c r="J36" i="129" s="1"/>
  <c r="P35" i="129"/>
  <c r="J35" i="129"/>
  <c r="I35" i="129"/>
  <c r="P34" i="129"/>
  <c r="I34" i="129"/>
  <c r="J34" i="129" s="1"/>
  <c r="J29" i="129"/>
  <c r="J28" i="129"/>
  <c r="N26" i="129"/>
  <c r="O26" i="129" s="1"/>
  <c r="J26" i="129"/>
  <c r="C17" i="129"/>
  <c r="D17" i="129" s="1"/>
  <c r="C16" i="129"/>
  <c r="D46" i="129" s="1"/>
  <c r="C15" i="129"/>
  <c r="C14" i="129"/>
  <c r="AD12" i="129"/>
  <c r="AB12" i="129"/>
  <c r="AA12" i="129"/>
  <c r="W12" i="129"/>
  <c r="U12" i="129"/>
  <c r="T12" i="129"/>
  <c r="S12" i="129"/>
  <c r="D10" i="129"/>
  <c r="B10" i="129"/>
  <c r="C10" i="129" s="1"/>
  <c r="C9" i="129"/>
  <c r="C8" i="129"/>
  <c r="A6" i="129"/>
  <c r="A4" i="129"/>
  <c r="O61" i="145"/>
  <c r="I61" i="145"/>
  <c r="J61" i="145" s="1"/>
  <c r="N61" i="145" s="1"/>
  <c r="I60" i="145"/>
  <c r="J60" i="145" s="1"/>
  <c r="J59" i="145"/>
  <c r="I59" i="145"/>
  <c r="I58" i="145"/>
  <c r="J58" i="145" s="1"/>
  <c r="I57" i="145"/>
  <c r="J57" i="145" s="1"/>
  <c r="G56" i="145"/>
  <c r="J56" i="145" s="1"/>
  <c r="D56" i="145"/>
  <c r="I55" i="145"/>
  <c r="O54" i="145"/>
  <c r="N54" i="145"/>
  <c r="I54" i="145"/>
  <c r="J54" i="145" s="1"/>
  <c r="I53" i="145"/>
  <c r="J53" i="145" s="1"/>
  <c r="N50" i="145"/>
  <c r="O50" i="145" s="1"/>
  <c r="I50" i="145"/>
  <c r="J50" i="145" s="1"/>
  <c r="I49" i="145"/>
  <c r="J49" i="145" s="1"/>
  <c r="I48" i="145"/>
  <c r="J48" i="145" s="1"/>
  <c r="I47" i="145"/>
  <c r="J47" i="145" s="1"/>
  <c r="O46" i="145"/>
  <c r="I46" i="145"/>
  <c r="J46" i="145" s="1"/>
  <c r="H45" i="145"/>
  <c r="H44" i="145"/>
  <c r="J44" i="145" s="1"/>
  <c r="G42" i="145"/>
  <c r="J42" i="145" s="1"/>
  <c r="D42" i="145"/>
  <c r="G41" i="145"/>
  <c r="J41" i="145" s="1"/>
  <c r="D41" i="145"/>
  <c r="D40" i="145"/>
  <c r="O39" i="145"/>
  <c r="I39" i="145"/>
  <c r="J39" i="145" s="1"/>
  <c r="J38" i="145"/>
  <c r="I38" i="145"/>
  <c r="I37" i="145"/>
  <c r="J37" i="145" s="1"/>
  <c r="I36" i="145"/>
  <c r="J36" i="145" s="1"/>
  <c r="I35" i="145"/>
  <c r="J35" i="145" s="1"/>
  <c r="I34" i="145"/>
  <c r="J34" i="145" s="1"/>
  <c r="J29" i="145"/>
  <c r="J28" i="145"/>
  <c r="N26" i="145"/>
  <c r="O26" i="145" s="1"/>
  <c r="J26" i="145"/>
  <c r="C17" i="145"/>
  <c r="C16" i="145"/>
  <c r="D46" i="145" s="1"/>
  <c r="C15" i="145"/>
  <c r="C14" i="145"/>
  <c r="D10" i="145"/>
  <c r="B10" i="145"/>
  <c r="C10" i="145" s="1"/>
  <c r="C9" i="145"/>
  <c r="C8" i="145"/>
  <c r="A6" i="145"/>
  <c r="D67" i="139"/>
  <c r="P54" i="139"/>
  <c r="J54" i="139"/>
  <c r="N54" i="139" s="1"/>
  <c r="O54" i="139" s="1"/>
  <c r="I54" i="139"/>
  <c r="P53" i="139"/>
  <c r="I53" i="139"/>
  <c r="J53" i="139" s="1"/>
  <c r="P52" i="139"/>
  <c r="I52" i="139"/>
  <c r="J52" i="139" s="1"/>
  <c r="P51" i="139"/>
  <c r="I51" i="139"/>
  <c r="J51" i="139" s="1"/>
  <c r="P50" i="139"/>
  <c r="I50" i="139"/>
  <c r="J50" i="139" s="1"/>
  <c r="P49" i="139"/>
  <c r="G49" i="139"/>
  <c r="J49" i="139" s="1"/>
  <c r="D49" i="139"/>
  <c r="P48" i="139"/>
  <c r="J48" i="139"/>
  <c r="I48" i="139"/>
  <c r="N48" i="139" s="1"/>
  <c r="O48" i="139" s="1"/>
  <c r="P47" i="139"/>
  <c r="I47" i="139"/>
  <c r="N47" i="139" s="1"/>
  <c r="O47" i="139" s="1"/>
  <c r="P46" i="139"/>
  <c r="I46" i="139"/>
  <c r="J46" i="139" s="1"/>
  <c r="P45" i="139"/>
  <c r="J45" i="139"/>
  <c r="P44" i="139"/>
  <c r="J44" i="139"/>
  <c r="P43" i="139"/>
  <c r="I43" i="139"/>
  <c r="J43" i="139" s="1"/>
  <c r="P42" i="139"/>
  <c r="I42" i="139"/>
  <c r="J42" i="139" s="1"/>
  <c r="P41" i="139"/>
  <c r="I41" i="139"/>
  <c r="J41" i="139" s="1"/>
  <c r="P40" i="139"/>
  <c r="I40" i="139"/>
  <c r="J40" i="139" s="1"/>
  <c r="P39" i="139"/>
  <c r="P38" i="139"/>
  <c r="P37" i="139"/>
  <c r="G37" i="139"/>
  <c r="J37" i="139" s="1"/>
  <c r="D37" i="139"/>
  <c r="P36" i="139"/>
  <c r="G36" i="139"/>
  <c r="J36" i="139" s="1"/>
  <c r="D36" i="139"/>
  <c r="P35" i="139"/>
  <c r="D35" i="139"/>
  <c r="P34" i="139"/>
  <c r="I34" i="139"/>
  <c r="J34" i="139" s="1"/>
  <c r="P33" i="139"/>
  <c r="I33" i="139"/>
  <c r="J33" i="139" s="1"/>
  <c r="P32" i="139"/>
  <c r="I32" i="139"/>
  <c r="J32" i="139" s="1"/>
  <c r="P31" i="139"/>
  <c r="J31" i="139"/>
  <c r="I31" i="139"/>
  <c r="P30" i="139"/>
  <c r="I30" i="139"/>
  <c r="J30" i="139" s="1"/>
  <c r="P29" i="139"/>
  <c r="I29" i="139"/>
  <c r="J29" i="139" s="1"/>
  <c r="J24" i="139"/>
  <c r="N23" i="139"/>
  <c r="O23" i="139" s="1"/>
  <c r="J23" i="139"/>
  <c r="C16" i="139"/>
  <c r="D51" i="139" s="1"/>
  <c r="C15" i="139"/>
  <c r="C14" i="139"/>
  <c r="AD12" i="139"/>
  <c r="AB12" i="139"/>
  <c r="W12" i="139"/>
  <c r="V12" i="139"/>
  <c r="U12" i="139"/>
  <c r="T12" i="139"/>
  <c r="S12" i="139"/>
  <c r="D10" i="139"/>
  <c r="B10" i="139"/>
  <c r="C10" i="139" s="1"/>
  <c r="C9" i="139"/>
  <c r="C8" i="139"/>
  <c r="A6" i="139"/>
  <c r="A4" i="139"/>
  <c r="D67" i="138"/>
  <c r="P54" i="138"/>
  <c r="N54" i="138"/>
  <c r="O54" i="138" s="1"/>
  <c r="I54" i="138"/>
  <c r="J54" i="138" s="1"/>
  <c r="P53" i="138"/>
  <c r="I53" i="138"/>
  <c r="J53" i="138" s="1"/>
  <c r="P52" i="138"/>
  <c r="I52" i="138"/>
  <c r="J52" i="138" s="1"/>
  <c r="P51" i="138"/>
  <c r="J51" i="138"/>
  <c r="I51" i="138"/>
  <c r="P50" i="138"/>
  <c r="I50" i="138"/>
  <c r="J50" i="138" s="1"/>
  <c r="P49" i="138"/>
  <c r="G49" i="138"/>
  <c r="J49" i="138" s="1"/>
  <c r="D49" i="138"/>
  <c r="P48" i="138"/>
  <c r="J48" i="138"/>
  <c r="I48" i="138"/>
  <c r="N48" i="138" s="1"/>
  <c r="O48" i="138" s="1"/>
  <c r="P47" i="138"/>
  <c r="I47" i="138"/>
  <c r="J47" i="138" s="1"/>
  <c r="P46" i="138"/>
  <c r="I46" i="138"/>
  <c r="J46" i="138" s="1"/>
  <c r="P45" i="138"/>
  <c r="J45" i="138"/>
  <c r="P44" i="138"/>
  <c r="J44" i="138"/>
  <c r="P43" i="138"/>
  <c r="I43" i="138"/>
  <c r="N43" i="138" s="1"/>
  <c r="O43" i="138" s="1"/>
  <c r="P42" i="138"/>
  <c r="I42" i="138"/>
  <c r="J42" i="138" s="1"/>
  <c r="P41" i="138"/>
  <c r="I41" i="138"/>
  <c r="J41" i="138" s="1"/>
  <c r="P40" i="138"/>
  <c r="I40" i="138"/>
  <c r="J40" i="138" s="1"/>
  <c r="P39" i="138"/>
  <c r="H39" i="138"/>
  <c r="J39" i="138" s="1"/>
  <c r="P38" i="138"/>
  <c r="P37" i="138"/>
  <c r="G37" i="138"/>
  <c r="J37" i="138" s="1"/>
  <c r="D37" i="138"/>
  <c r="P36" i="138"/>
  <c r="G36" i="138"/>
  <c r="J36" i="138" s="1"/>
  <c r="D36" i="138"/>
  <c r="P35" i="138"/>
  <c r="D35" i="138"/>
  <c r="P34" i="138"/>
  <c r="I34" i="138"/>
  <c r="J34" i="138" s="1"/>
  <c r="P33" i="138"/>
  <c r="I33" i="138"/>
  <c r="J33" i="138" s="1"/>
  <c r="P32" i="138"/>
  <c r="I32" i="138"/>
  <c r="J32" i="138" s="1"/>
  <c r="P31" i="138"/>
  <c r="I31" i="138"/>
  <c r="J31" i="138" s="1"/>
  <c r="P30" i="138"/>
  <c r="I30" i="138"/>
  <c r="J30" i="138" s="1"/>
  <c r="P29" i="138"/>
  <c r="I29" i="138"/>
  <c r="J29" i="138" s="1"/>
  <c r="J24" i="138"/>
  <c r="N23" i="138"/>
  <c r="O23" i="138" s="1"/>
  <c r="J23" i="138"/>
  <c r="C16" i="138"/>
  <c r="D51" i="138" s="1"/>
  <c r="C15" i="138"/>
  <c r="C14" i="138"/>
  <c r="AD12" i="138"/>
  <c r="AC12" i="138"/>
  <c r="AA12" i="138"/>
  <c r="W12" i="138"/>
  <c r="V12" i="138"/>
  <c r="U12" i="138"/>
  <c r="S12" i="138"/>
  <c r="D10" i="138"/>
  <c r="B10" i="138"/>
  <c r="C10" i="138" s="1"/>
  <c r="C9" i="138"/>
  <c r="C8" i="138"/>
  <c r="A6" i="138"/>
  <c r="A4" i="138"/>
  <c r="P52" i="119"/>
  <c r="I52" i="119"/>
  <c r="J52" i="119" s="1"/>
  <c r="N52" i="119" s="1"/>
  <c r="O52" i="119" s="1"/>
  <c r="P51" i="119"/>
  <c r="J51" i="119"/>
  <c r="I51" i="119"/>
  <c r="D51" i="119"/>
  <c r="P50" i="119"/>
  <c r="I50" i="119"/>
  <c r="J50" i="119" s="1"/>
  <c r="P49" i="119"/>
  <c r="I49" i="119"/>
  <c r="J49" i="119" s="1"/>
  <c r="P48" i="119"/>
  <c r="I48" i="119"/>
  <c r="J48" i="119" s="1"/>
  <c r="P47" i="119"/>
  <c r="G47" i="119"/>
  <c r="J47" i="119" s="1"/>
  <c r="D47" i="119"/>
  <c r="P46" i="119"/>
  <c r="O46" i="119"/>
  <c r="N46" i="119"/>
  <c r="I46" i="119"/>
  <c r="J46" i="119" s="1"/>
  <c r="P45" i="119"/>
  <c r="I45" i="119"/>
  <c r="N45" i="119" s="1"/>
  <c r="O45" i="119" s="1"/>
  <c r="P44" i="119"/>
  <c r="I44" i="119"/>
  <c r="J44" i="119" s="1"/>
  <c r="P43" i="119"/>
  <c r="J43" i="119"/>
  <c r="P42" i="119"/>
  <c r="J42" i="119"/>
  <c r="P41" i="119"/>
  <c r="I41" i="119"/>
  <c r="J41" i="119" s="1"/>
  <c r="P40" i="119"/>
  <c r="I40" i="119"/>
  <c r="J40" i="119" s="1"/>
  <c r="P39" i="119"/>
  <c r="I39" i="119"/>
  <c r="J39" i="119" s="1"/>
  <c r="P38" i="119"/>
  <c r="I38" i="119"/>
  <c r="J38" i="119" s="1"/>
  <c r="N38" i="119" s="1"/>
  <c r="O38" i="119" s="1"/>
  <c r="P37" i="119"/>
  <c r="I37" i="119"/>
  <c r="J37" i="119" s="1"/>
  <c r="P36" i="119"/>
  <c r="J36" i="119"/>
  <c r="H36" i="119"/>
  <c r="P35" i="119"/>
  <c r="P34" i="119"/>
  <c r="G34" i="119"/>
  <c r="J34" i="119" s="1"/>
  <c r="D34" i="119"/>
  <c r="P33" i="119"/>
  <c r="G33" i="119"/>
  <c r="D33" i="119"/>
  <c r="P32" i="119"/>
  <c r="J32" i="119"/>
  <c r="G32" i="119"/>
  <c r="D32" i="119"/>
  <c r="P31" i="119"/>
  <c r="D31" i="119"/>
  <c r="P30" i="119"/>
  <c r="I30" i="119"/>
  <c r="J30" i="119" s="1"/>
  <c r="P29" i="119"/>
  <c r="J29" i="119"/>
  <c r="I29" i="119"/>
  <c r="P28" i="119"/>
  <c r="I28" i="119"/>
  <c r="J28" i="119" s="1"/>
  <c r="P27" i="119"/>
  <c r="I27" i="119"/>
  <c r="J27" i="119" s="1"/>
  <c r="P26" i="119"/>
  <c r="I26" i="119"/>
  <c r="J26" i="119" s="1"/>
  <c r="P25" i="119"/>
  <c r="I25" i="119"/>
  <c r="J25" i="119" s="1"/>
  <c r="J20" i="119"/>
  <c r="O19" i="119"/>
  <c r="N19" i="119"/>
  <c r="J19" i="119"/>
  <c r="C15" i="119"/>
  <c r="D36" i="119" s="1"/>
  <c r="AD13" i="119"/>
  <c r="AC13" i="119"/>
  <c r="AB13" i="119"/>
  <c r="W13" i="119"/>
  <c r="D11" i="119"/>
  <c r="B11" i="119"/>
  <c r="C11" i="119" s="1"/>
  <c r="C10" i="119"/>
  <c r="C9" i="119"/>
  <c r="A5" i="119"/>
  <c r="A4" i="119"/>
  <c r="P54" i="128"/>
  <c r="J54" i="128"/>
  <c r="N54" i="128" s="1"/>
  <c r="O54" i="128" s="1"/>
  <c r="I54" i="128"/>
  <c r="P53" i="128"/>
  <c r="I53" i="128"/>
  <c r="J53" i="128" s="1"/>
  <c r="P52" i="128"/>
  <c r="I52" i="128"/>
  <c r="J52" i="128" s="1"/>
  <c r="P51" i="128"/>
  <c r="I51" i="128"/>
  <c r="J51" i="128" s="1"/>
  <c r="P50" i="128"/>
  <c r="I50" i="128"/>
  <c r="J50" i="128" s="1"/>
  <c r="P49" i="128"/>
  <c r="J49" i="128"/>
  <c r="G49" i="128"/>
  <c r="P48" i="128"/>
  <c r="N48" i="128"/>
  <c r="O48" i="128" s="1"/>
  <c r="J48" i="128"/>
  <c r="I48" i="128"/>
  <c r="P47" i="128"/>
  <c r="J47" i="128"/>
  <c r="I47" i="128"/>
  <c r="N47" i="128" s="1"/>
  <c r="O47" i="128" s="1"/>
  <c r="P46" i="128"/>
  <c r="I46" i="128"/>
  <c r="J46" i="128" s="1"/>
  <c r="P45" i="128"/>
  <c r="J45" i="128"/>
  <c r="P44" i="128"/>
  <c r="I44" i="128"/>
  <c r="J44" i="128" s="1"/>
  <c r="P43" i="128"/>
  <c r="I43" i="128"/>
  <c r="P42" i="128"/>
  <c r="I42" i="128"/>
  <c r="J42" i="128" s="1"/>
  <c r="I41" i="128"/>
  <c r="J41" i="128" s="1"/>
  <c r="N41" i="128" s="1"/>
  <c r="O41" i="128" s="1"/>
  <c r="P40" i="128"/>
  <c r="J40" i="128"/>
  <c r="I40" i="128"/>
  <c r="P39" i="128"/>
  <c r="H39" i="128"/>
  <c r="J39" i="128" s="1"/>
  <c r="P38" i="128"/>
  <c r="P37" i="128"/>
  <c r="G37" i="128"/>
  <c r="J37" i="128" s="1"/>
  <c r="P36" i="128"/>
  <c r="G36" i="128"/>
  <c r="J36" i="128" s="1"/>
  <c r="P35" i="128"/>
  <c r="G35" i="128"/>
  <c r="J35" i="128" s="1"/>
  <c r="P34" i="128"/>
  <c r="G34" i="128"/>
  <c r="J34" i="128" s="1"/>
  <c r="P33" i="128"/>
  <c r="I33" i="128"/>
  <c r="J33" i="128" s="1"/>
  <c r="P32" i="128"/>
  <c r="I32" i="128"/>
  <c r="J32" i="128" s="1"/>
  <c r="P31" i="128"/>
  <c r="J31" i="128"/>
  <c r="I31" i="128"/>
  <c r="P30" i="128"/>
  <c r="I30" i="128"/>
  <c r="J30" i="128" s="1"/>
  <c r="P29" i="128"/>
  <c r="I29" i="128"/>
  <c r="J29" i="128" s="1"/>
  <c r="P28" i="128"/>
  <c r="I28" i="128"/>
  <c r="J28" i="128" s="1"/>
  <c r="P27" i="128"/>
  <c r="I27" i="128"/>
  <c r="J27" i="128" s="1"/>
  <c r="J22" i="128"/>
  <c r="N21" i="128"/>
  <c r="O21" i="128" s="1"/>
  <c r="J21" i="128"/>
  <c r="C17" i="128"/>
  <c r="D36" i="128" s="1"/>
  <c r="L36" i="128" s="1"/>
  <c r="O36" i="128" s="1"/>
  <c r="C16" i="128"/>
  <c r="C15" i="128"/>
  <c r="D51" i="128" s="1"/>
  <c r="AD13" i="128"/>
  <c r="AC13" i="128"/>
  <c r="AA13" i="128"/>
  <c r="U13" i="128"/>
  <c r="T13" i="128"/>
  <c r="S13" i="128"/>
  <c r="D11" i="128"/>
  <c r="B11" i="128"/>
  <c r="C11" i="128" s="1"/>
  <c r="C10" i="128"/>
  <c r="C9" i="128"/>
  <c r="A6" i="128"/>
  <c r="A4" i="128"/>
  <c r="P53" i="37"/>
  <c r="I53" i="37"/>
  <c r="J53" i="37" s="1"/>
  <c r="N53" i="37" s="1"/>
  <c r="O53" i="37" s="1"/>
  <c r="P52" i="37"/>
  <c r="I52" i="37"/>
  <c r="J52" i="37" s="1"/>
  <c r="P51" i="37"/>
  <c r="I51" i="37"/>
  <c r="J51" i="37" s="1"/>
  <c r="P50" i="37"/>
  <c r="I50" i="37"/>
  <c r="J50" i="37" s="1"/>
  <c r="P49" i="37"/>
  <c r="I49" i="37"/>
  <c r="J49" i="37" s="1"/>
  <c r="P48" i="37"/>
  <c r="G48" i="37"/>
  <c r="J48" i="37" s="1"/>
  <c r="D48" i="37"/>
  <c r="P47" i="37"/>
  <c r="N47" i="37"/>
  <c r="O47" i="37" s="1"/>
  <c r="J47" i="37"/>
  <c r="I47" i="37"/>
  <c r="P46" i="37"/>
  <c r="O46" i="37"/>
  <c r="N46" i="37"/>
  <c r="I46" i="37"/>
  <c r="J46" i="37" s="1"/>
  <c r="P45" i="37"/>
  <c r="I45" i="37"/>
  <c r="J45" i="37" s="1"/>
  <c r="P44" i="37"/>
  <c r="J44" i="37"/>
  <c r="P43" i="37"/>
  <c r="I43" i="37"/>
  <c r="N43" i="37" s="1"/>
  <c r="O43" i="37" s="1"/>
  <c r="P42" i="37"/>
  <c r="I42" i="37"/>
  <c r="P41" i="37"/>
  <c r="I41" i="37"/>
  <c r="J41" i="37" s="1"/>
  <c r="P40" i="37"/>
  <c r="I40" i="37"/>
  <c r="J40" i="37" s="1"/>
  <c r="N40" i="37" s="1"/>
  <c r="O40" i="37" s="1"/>
  <c r="P39" i="37"/>
  <c r="I39" i="37"/>
  <c r="J39" i="37" s="1"/>
  <c r="P38" i="37"/>
  <c r="H38" i="37"/>
  <c r="J38" i="37" s="1"/>
  <c r="P37" i="37"/>
  <c r="P36" i="37"/>
  <c r="G36" i="37"/>
  <c r="J36" i="37" s="1"/>
  <c r="D36" i="37"/>
  <c r="P35" i="37"/>
  <c r="G35" i="37"/>
  <c r="J35" i="37" s="1"/>
  <c r="D35" i="37"/>
  <c r="P34" i="37"/>
  <c r="D34" i="37"/>
  <c r="P33" i="37"/>
  <c r="I33" i="37"/>
  <c r="J33" i="37" s="1"/>
  <c r="P32" i="37"/>
  <c r="I32" i="37"/>
  <c r="J32" i="37" s="1"/>
  <c r="P31" i="37"/>
  <c r="I31" i="37"/>
  <c r="J31" i="37" s="1"/>
  <c r="P30" i="37"/>
  <c r="I30" i="37"/>
  <c r="J30" i="37" s="1"/>
  <c r="P29" i="37"/>
  <c r="I29" i="37"/>
  <c r="J29" i="37" s="1"/>
  <c r="P28" i="37"/>
  <c r="I28" i="37"/>
  <c r="J28" i="37" s="1"/>
  <c r="P27" i="37"/>
  <c r="I27" i="37"/>
  <c r="J27" i="37" s="1"/>
  <c r="J22" i="37"/>
  <c r="O21" i="37"/>
  <c r="N21" i="37"/>
  <c r="J21" i="37"/>
  <c r="C15" i="37"/>
  <c r="AA13" i="37"/>
  <c r="Z13" i="37"/>
  <c r="W13" i="37"/>
  <c r="V13" i="37"/>
  <c r="U13" i="37"/>
  <c r="D11" i="37"/>
  <c r="B11" i="37"/>
  <c r="C11" i="37" s="1"/>
  <c r="C10" i="37"/>
  <c r="C9" i="37"/>
  <c r="A6" i="37"/>
  <c r="A4" i="37"/>
  <c r="P56" i="140"/>
  <c r="I56" i="140"/>
  <c r="J56" i="140" s="1"/>
  <c r="N56" i="140" s="1"/>
  <c r="O56" i="140" s="1"/>
  <c r="P55" i="140"/>
  <c r="I55" i="140"/>
  <c r="J55" i="140" s="1"/>
  <c r="P54" i="140"/>
  <c r="I54" i="140"/>
  <c r="J54" i="140" s="1"/>
  <c r="N54" i="140" s="1"/>
  <c r="O54" i="140" s="1"/>
  <c r="P53" i="140"/>
  <c r="I53" i="140"/>
  <c r="J53" i="140" s="1"/>
  <c r="P52" i="140"/>
  <c r="G52" i="140"/>
  <c r="J52" i="140" s="1"/>
  <c r="D52" i="140"/>
  <c r="P51" i="140"/>
  <c r="I51" i="140"/>
  <c r="N51" i="140" s="1"/>
  <c r="O51" i="140" s="1"/>
  <c r="P50" i="140"/>
  <c r="I50" i="140"/>
  <c r="N50" i="140" s="1"/>
  <c r="O50" i="140" s="1"/>
  <c r="P49" i="140"/>
  <c r="I49" i="140"/>
  <c r="J49" i="140" s="1"/>
  <c r="P48" i="140"/>
  <c r="J48" i="140"/>
  <c r="P47" i="140"/>
  <c r="I47" i="140"/>
  <c r="N47" i="140" s="1"/>
  <c r="O47" i="140" s="1"/>
  <c r="P46" i="140"/>
  <c r="I46" i="140"/>
  <c r="P45" i="140"/>
  <c r="I45" i="140"/>
  <c r="J45" i="140" s="1"/>
  <c r="P44" i="140"/>
  <c r="I44" i="140"/>
  <c r="J44" i="140" s="1"/>
  <c r="P43" i="140"/>
  <c r="H43" i="140"/>
  <c r="J43" i="140" s="1"/>
  <c r="P42" i="140"/>
  <c r="I42" i="140"/>
  <c r="J42" i="140" s="1"/>
  <c r="N42" i="140" s="1"/>
  <c r="O42" i="140" s="1"/>
  <c r="P41" i="140"/>
  <c r="G41" i="140"/>
  <c r="J41" i="140" s="1"/>
  <c r="D41" i="140"/>
  <c r="P40" i="140"/>
  <c r="G40" i="140"/>
  <c r="J40" i="140" s="1"/>
  <c r="D40" i="140"/>
  <c r="P39" i="140"/>
  <c r="D39" i="140"/>
  <c r="P38" i="140"/>
  <c r="J38" i="140"/>
  <c r="I38" i="140"/>
  <c r="P37" i="140"/>
  <c r="J37" i="140"/>
  <c r="I37" i="140"/>
  <c r="P36" i="140"/>
  <c r="I36" i="140"/>
  <c r="J36" i="140" s="1"/>
  <c r="P35" i="140"/>
  <c r="I35" i="140"/>
  <c r="J35" i="140" s="1"/>
  <c r="P34" i="140"/>
  <c r="I34" i="140"/>
  <c r="J34" i="140" s="1"/>
  <c r="P33" i="140"/>
  <c r="I33" i="140"/>
  <c r="J33" i="140" s="1"/>
  <c r="P32" i="140"/>
  <c r="I32" i="140"/>
  <c r="J32" i="140" s="1"/>
  <c r="J27" i="140"/>
  <c r="J26" i="140"/>
  <c r="O25" i="140"/>
  <c r="N25" i="140"/>
  <c r="J25" i="140"/>
  <c r="D18" i="140"/>
  <c r="D27" i="140" s="1"/>
  <c r="N27" i="140" s="1"/>
  <c r="O27" i="140" s="1"/>
  <c r="D17" i="140"/>
  <c r="D35" i="140" s="1"/>
  <c r="D11" i="140"/>
  <c r="B11" i="140"/>
  <c r="C11" i="140" s="1"/>
  <c r="C10" i="140"/>
  <c r="C9" i="140"/>
  <c r="A6" i="140"/>
  <c r="A4" i="140"/>
  <c r="P50" i="126"/>
  <c r="I50" i="126"/>
  <c r="J50" i="126" s="1"/>
  <c r="N50" i="126" s="1"/>
  <c r="O50" i="126" s="1"/>
  <c r="P49" i="126"/>
  <c r="I49" i="126"/>
  <c r="J49" i="126" s="1"/>
  <c r="P48" i="126"/>
  <c r="I48" i="126"/>
  <c r="J48" i="126" s="1"/>
  <c r="N48" i="126" s="1"/>
  <c r="O48" i="126" s="1"/>
  <c r="P47" i="126"/>
  <c r="J47" i="126"/>
  <c r="I47" i="126"/>
  <c r="P46" i="126"/>
  <c r="G46" i="126"/>
  <c r="J46" i="126" s="1"/>
  <c r="D46" i="126"/>
  <c r="L46" i="126" s="1"/>
  <c r="O46" i="126" s="1"/>
  <c r="P45" i="126"/>
  <c r="I45" i="126"/>
  <c r="N45" i="126" s="1"/>
  <c r="O45" i="126" s="1"/>
  <c r="P44" i="126"/>
  <c r="O44" i="126"/>
  <c r="N44" i="126"/>
  <c r="J44" i="126"/>
  <c r="I44" i="126"/>
  <c r="P43" i="126"/>
  <c r="I43" i="126"/>
  <c r="J43" i="126" s="1"/>
  <c r="P42" i="126"/>
  <c r="J42" i="126"/>
  <c r="P41" i="126"/>
  <c r="I41" i="126"/>
  <c r="J41" i="126" s="1"/>
  <c r="P40" i="126"/>
  <c r="I40" i="126"/>
  <c r="P39" i="126"/>
  <c r="I39" i="126"/>
  <c r="J39" i="126" s="1"/>
  <c r="P38" i="126"/>
  <c r="I38" i="126"/>
  <c r="J38" i="126" s="1"/>
  <c r="P37" i="126"/>
  <c r="H37" i="126"/>
  <c r="J37" i="126" s="1"/>
  <c r="P36" i="126"/>
  <c r="I36" i="126"/>
  <c r="J36" i="126" s="1"/>
  <c r="N36" i="126" s="1"/>
  <c r="O36" i="126" s="1"/>
  <c r="P35" i="126"/>
  <c r="G35" i="126"/>
  <c r="J35" i="126" s="1"/>
  <c r="D35" i="126"/>
  <c r="P34" i="126"/>
  <c r="G34" i="126"/>
  <c r="D34" i="126"/>
  <c r="P33" i="126"/>
  <c r="G33" i="126"/>
  <c r="D33" i="126"/>
  <c r="P32" i="126"/>
  <c r="D32" i="126"/>
  <c r="P31" i="126"/>
  <c r="J31" i="126"/>
  <c r="I31" i="126"/>
  <c r="P30" i="126"/>
  <c r="I30" i="126"/>
  <c r="J30" i="126" s="1"/>
  <c r="P29" i="126"/>
  <c r="I29" i="126"/>
  <c r="J29" i="126" s="1"/>
  <c r="P28" i="126"/>
  <c r="I28" i="126"/>
  <c r="J28" i="126" s="1"/>
  <c r="P27" i="126"/>
  <c r="I27" i="126"/>
  <c r="J27" i="126" s="1"/>
  <c r="P26" i="126"/>
  <c r="I26" i="126"/>
  <c r="J26" i="126" s="1"/>
  <c r="P25" i="126"/>
  <c r="I25" i="126"/>
  <c r="J25" i="126" s="1"/>
  <c r="J20" i="126"/>
  <c r="O19" i="126"/>
  <c r="N19" i="126"/>
  <c r="J19" i="126"/>
  <c r="AD15" i="126"/>
  <c r="AC15" i="126"/>
  <c r="AB15" i="126"/>
  <c r="AA15" i="126"/>
  <c r="Y15" i="126"/>
  <c r="W15" i="126"/>
  <c r="V15" i="126"/>
  <c r="U15" i="126"/>
  <c r="T15" i="126"/>
  <c r="S15" i="126"/>
  <c r="C15" i="126"/>
  <c r="D37" i="126" s="1"/>
  <c r="D11" i="126"/>
  <c r="B11" i="126"/>
  <c r="C11" i="126" s="1"/>
  <c r="C10" i="126"/>
  <c r="C9" i="126"/>
  <c r="A6" i="126"/>
  <c r="A4" i="126"/>
  <c r="P56" i="127"/>
  <c r="N56" i="127"/>
  <c r="O56" i="127" s="1"/>
  <c r="J56" i="127"/>
  <c r="I56" i="127"/>
  <c r="P55" i="127"/>
  <c r="J55" i="127"/>
  <c r="I55" i="127"/>
  <c r="D55" i="127"/>
  <c r="P54" i="127"/>
  <c r="I54" i="127"/>
  <c r="J54" i="127" s="1"/>
  <c r="N54" i="127" s="1"/>
  <c r="O54" i="127" s="1"/>
  <c r="P53" i="127"/>
  <c r="I53" i="127"/>
  <c r="J53" i="127" s="1"/>
  <c r="P52" i="127"/>
  <c r="J52" i="127"/>
  <c r="G52" i="127"/>
  <c r="D52" i="127"/>
  <c r="P51" i="127"/>
  <c r="J51" i="127"/>
  <c r="I51" i="127"/>
  <c r="N51" i="127" s="1"/>
  <c r="O51" i="127" s="1"/>
  <c r="P50" i="127"/>
  <c r="I50" i="127"/>
  <c r="N50" i="127" s="1"/>
  <c r="O50" i="127" s="1"/>
  <c r="P49" i="127"/>
  <c r="I49" i="127"/>
  <c r="J49" i="127" s="1"/>
  <c r="P48" i="127"/>
  <c r="J48" i="127"/>
  <c r="P47" i="127"/>
  <c r="I47" i="127"/>
  <c r="N47" i="127" s="1"/>
  <c r="O47" i="127" s="1"/>
  <c r="P46" i="127"/>
  <c r="J46" i="127"/>
  <c r="I46" i="127"/>
  <c r="P45" i="127"/>
  <c r="I45" i="127"/>
  <c r="J45" i="127" s="1"/>
  <c r="P44" i="127"/>
  <c r="I44" i="127"/>
  <c r="J44" i="127" s="1"/>
  <c r="P43" i="127"/>
  <c r="J43" i="127"/>
  <c r="H43" i="127"/>
  <c r="P42" i="127"/>
  <c r="I42" i="127"/>
  <c r="J42" i="127" s="1"/>
  <c r="N42" i="127" s="1"/>
  <c r="O42" i="127" s="1"/>
  <c r="P41" i="127"/>
  <c r="G41" i="127"/>
  <c r="J41" i="127" s="1"/>
  <c r="D41" i="127"/>
  <c r="P40" i="127"/>
  <c r="J40" i="127"/>
  <c r="G40" i="127"/>
  <c r="P39" i="127"/>
  <c r="G39" i="127"/>
  <c r="J39" i="127" s="1"/>
  <c r="P38" i="127"/>
  <c r="D38" i="127"/>
  <c r="P37" i="127"/>
  <c r="I37" i="127"/>
  <c r="J37" i="127" s="1"/>
  <c r="P36" i="127"/>
  <c r="I36" i="127"/>
  <c r="J36" i="127" s="1"/>
  <c r="P35" i="127"/>
  <c r="J35" i="127"/>
  <c r="I35" i="127"/>
  <c r="P34" i="127"/>
  <c r="J34" i="127"/>
  <c r="I34" i="127"/>
  <c r="P33" i="127"/>
  <c r="I33" i="127"/>
  <c r="J33" i="127" s="1"/>
  <c r="P32" i="127"/>
  <c r="I32" i="127"/>
  <c r="J32" i="127" s="1"/>
  <c r="P31" i="127"/>
  <c r="I31" i="127"/>
  <c r="J31" i="127" s="1"/>
  <c r="J26" i="127"/>
  <c r="N25" i="127"/>
  <c r="O25" i="127" s="1"/>
  <c r="J25" i="127"/>
  <c r="D19" i="127"/>
  <c r="D40" i="127" s="1"/>
  <c r="L40" i="127" s="1"/>
  <c r="O40" i="127" s="1"/>
  <c r="D18" i="127"/>
  <c r="D39" i="127" s="1"/>
  <c r="D17" i="127"/>
  <c r="D36" i="127" s="1"/>
  <c r="AD15" i="127"/>
  <c r="AC15" i="127"/>
  <c r="AB15" i="127"/>
  <c r="Z15" i="127"/>
  <c r="W15" i="127"/>
  <c r="V15" i="127"/>
  <c r="U15" i="127"/>
  <c r="T15" i="127"/>
  <c r="S15" i="127"/>
  <c r="AD14" i="127"/>
  <c r="AC14" i="127"/>
  <c r="AB14" i="127"/>
  <c r="AA14" i="127"/>
  <c r="Z14" i="127"/>
  <c r="Y14" i="127"/>
  <c r="X14" i="127"/>
  <c r="W14" i="127"/>
  <c r="V14" i="127"/>
  <c r="U14" i="127"/>
  <c r="T14" i="127"/>
  <c r="S14" i="127"/>
  <c r="AD13" i="127"/>
  <c r="AC13" i="127"/>
  <c r="AB13" i="127"/>
  <c r="AA13" i="127"/>
  <c r="Z13" i="127"/>
  <c r="Y13" i="127"/>
  <c r="X13" i="127"/>
  <c r="W13" i="127"/>
  <c r="V13" i="127"/>
  <c r="U13" i="127"/>
  <c r="T13" i="127"/>
  <c r="S13" i="127"/>
  <c r="D11" i="127"/>
  <c r="B11" i="127"/>
  <c r="C11" i="127" s="1"/>
  <c r="C10" i="127"/>
  <c r="C9" i="127"/>
  <c r="A6" i="127"/>
  <c r="A4" i="127"/>
  <c r="P49" i="100"/>
  <c r="N49" i="100"/>
  <c r="O49" i="100" s="1"/>
  <c r="J49" i="100"/>
  <c r="I49" i="100"/>
  <c r="P48" i="100"/>
  <c r="J48" i="100"/>
  <c r="I48" i="100"/>
  <c r="P47" i="100"/>
  <c r="I47" i="100"/>
  <c r="J47" i="100" s="1"/>
  <c r="N47" i="100" s="1"/>
  <c r="O47" i="100" s="1"/>
  <c r="P46" i="100"/>
  <c r="J46" i="100"/>
  <c r="I46" i="100"/>
  <c r="P45" i="100"/>
  <c r="J45" i="100"/>
  <c r="G45" i="100"/>
  <c r="D45" i="100"/>
  <c r="P44" i="100"/>
  <c r="O44" i="100"/>
  <c r="N44" i="100"/>
  <c r="J44" i="100"/>
  <c r="I44" i="100"/>
  <c r="P43" i="100"/>
  <c r="J43" i="100"/>
  <c r="I43" i="100"/>
  <c r="N43" i="100" s="1"/>
  <c r="O43" i="100" s="1"/>
  <c r="P42" i="100"/>
  <c r="I42" i="100"/>
  <c r="J42" i="100" s="1"/>
  <c r="P41" i="100"/>
  <c r="J41" i="100"/>
  <c r="P40" i="100"/>
  <c r="I40" i="100"/>
  <c r="N40" i="100" s="1"/>
  <c r="O40" i="100" s="1"/>
  <c r="P39" i="100"/>
  <c r="I39" i="100"/>
  <c r="J39" i="100" s="1"/>
  <c r="P38" i="100"/>
  <c r="I38" i="100"/>
  <c r="J38" i="100" s="1"/>
  <c r="P37" i="100"/>
  <c r="I37" i="100"/>
  <c r="J37" i="100" s="1"/>
  <c r="P36" i="100"/>
  <c r="H36" i="100"/>
  <c r="J36" i="100" s="1"/>
  <c r="P35" i="100"/>
  <c r="I35" i="100"/>
  <c r="J35" i="100" s="1"/>
  <c r="N35" i="100" s="1"/>
  <c r="O35" i="100" s="1"/>
  <c r="P34" i="100"/>
  <c r="G34" i="100"/>
  <c r="J34" i="100" s="1"/>
  <c r="D34" i="100"/>
  <c r="P33" i="100"/>
  <c r="G33" i="100"/>
  <c r="J33" i="100" s="1"/>
  <c r="D33" i="100"/>
  <c r="P32" i="100"/>
  <c r="G32" i="100"/>
  <c r="J32" i="100" s="1"/>
  <c r="D32" i="100"/>
  <c r="P31" i="100"/>
  <c r="I31" i="100"/>
  <c r="J31" i="100" s="1"/>
  <c r="P30" i="100"/>
  <c r="I30" i="100"/>
  <c r="J30" i="100" s="1"/>
  <c r="P29" i="100"/>
  <c r="J29" i="100"/>
  <c r="I29" i="100"/>
  <c r="P28" i="100"/>
  <c r="I28" i="100"/>
  <c r="J28" i="100" s="1"/>
  <c r="P27" i="100"/>
  <c r="I27" i="100"/>
  <c r="J27" i="100" s="1"/>
  <c r="P26" i="100"/>
  <c r="I26" i="100"/>
  <c r="J26" i="100" s="1"/>
  <c r="P25" i="100"/>
  <c r="I25" i="100"/>
  <c r="J25" i="100" s="1"/>
  <c r="J20" i="100"/>
  <c r="AD19" i="100"/>
  <c r="AC19" i="100"/>
  <c r="AB19" i="100"/>
  <c r="AA19" i="100"/>
  <c r="Y19" i="100"/>
  <c r="W19" i="100"/>
  <c r="V19" i="100"/>
  <c r="U19" i="100"/>
  <c r="T19" i="100"/>
  <c r="S19" i="100"/>
  <c r="N19" i="100"/>
  <c r="O19" i="100" s="1"/>
  <c r="J19" i="100"/>
  <c r="AB18" i="100"/>
  <c r="AA18" i="100"/>
  <c r="Z18" i="100"/>
  <c r="Y18" i="100"/>
  <c r="X18" i="100"/>
  <c r="T18" i="100"/>
  <c r="AD17" i="100"/>
  <c r="AC17" i="100"/>
  <c r="AB17" i="100"/>
  <c r="AA17" i="100"/>
  <c r="Z17" i="100"/>
  <c r="Y17" i="100"/>
  <c r="X17" i="100"/>
  <c r="W17" i="100"/>
  <c r="V17" i="100"/>
  <c r="U17" i="100"/>
  <c r="T17" i="100"/>
  <c r="S17" i="100"/>
  <c r="AD16" i="100"/>
  <c r="AC16" i="100"/>
  <c r="AB16" i="100"/>
  <c r="AA16" i="100"/>
  <c r="Z16" i="100"/>
  <c r="W16" i="100"/>
  <c r="V16" i="100"/>
  <c r="U16" i="100"/>
  <c r="T16" i="100"/>
  <c r="S16" i="100"/>
  <c r="C15" i="100"/>
  <c r="D20" i="100" s="1"/>
  <c r="C14" i="100"/>
  <c r="D30" i="100" s="1"/>
  <c r="N30" i="100" s="1"/>
  <c r="O30" i="100" s="1"/>
  <c r="D10" i="100"/>
  <c r="B10" i="100"/>
  <c r="C10" i="100" s="1"/>
  <c r="C9" i="100"/>
  <c r="C8" i="100"/>
  <c r="A5" i="100"/>
  <c r="P50" i="143"/>
  <c r="I50" i="143"/>
  <c r="J50" i="143" s="1"/>
  <c r="N50" i="143" s="1"/>
  <c r="O50" i="143" s="1"/>
  <c r="P49" i="143"/>
  <c r="I49" i="143"/>
  <c r="J49" i="143" s="1"/>
  <c r="P48" i="143"/>
  <c r="I48" i="143"/>
  <c r="J48" i="143" s="1"/>
  <c r="N48" i="143" s="1"/>
  <c r="O48" i="143" s="1"/>
  <c r="P47" i="143"/>
  <c r="I47" i="143"/>
  <c r="J47" i="143" s="1"/>
  <c r="P46" i="143"/>
  <c r="J46" i="143"/>
  <c r="G46" i="143"/>
  <c r="D46" i="143"/>
  <c r="P45" i="143"/>
  <c r="I45" i="143"/>
  <c r="N45" i="143" s="1"/>
  <c r="O45" i="143" s="1"/>
  <c r="P44" i="143"/>
  <c r="N44" i="143"/>
  <c r="O44" i="143" s="1"/>
  <c r="I44" i="143"/>
  <c r="J44" i="143" s="1"/>
  <c r="P43" i="143"/>
  <c r="I43" i="143"/>
  <c r="J43" i="143" s="1"/>
  <c r="P42" i="143"/>
  <c r="J42" i="143"/>
  <c r="P41" i="143"/>
  <c r="J41" i="143"/>
  <c r="I41" i="143"/>
  <c r="N41" i="143" s="1"/>
  <c r="O41" i="143" s="1"/>
  <c r="P40" i="143"/>
  <c r="I40" i="143"/>
  <c r="J40" i="143" s="1"/>
  <c r="P39" i="143"/>
  <c r="I39" i="143"/>
  <c r="J39" i="143" s="1"/>
  <c r="P38" i="143"/>
  <c r="I38" i="143"/>
  <c r="J38" i="143" s="1"/>
  <c r="P37" i="143"/>
  <c r="H37" i="143"/>
  <c r="J37" i="143" s="1"/>
  <c r="P36" i="143"/>
  <c r="I36" i="143"/>
  <c r="J36" i="143" s="1"/>
  <c r="N36" i="143" s="1"/>
  <c r="O36" i="143" s="1"/>
  <c r="P35" i="143"/>
  <c r="G35" i="143"/>
  <c r="D35" i="143"/>
  <c r="P34" i="143"/>
  <c r="P33" i="143"/>
  <c r="P32" i="143"/>
  <c r="D32" i="143"/>
  <c r="P31" i="143"/>
  <c r="D31" i="143"/>
  <c r="P30" i="143"/>
  <c r="J30" i="143"/>
  <c r="I30" i="143"/>
  <c r="P29" i="143"/>
  <c r="I29" i="143"/>
  <c r="J29" i="143" s="1"/>
  <c r="P28" i="143"/>
  <c r="J28" i="143"/>
  <c r="I28" i="143"/>
  <c r="P27" i="143"/>
  <c r="I27" i="143"/>
  <c r="J27" i="143" s="1"/>
  <c r="P26" i="143"/>
  <c r="I26" i="143"/>
  <c r="J26" i="143" s="1"/>
  <c r="P25" i="143"/>
  <c r="I25" i="143"/>
  <c r="J25" i="143" s="1"/>
  <c r="P24" i="143"/>
  <c r="J24" i="143"/>
  <c r="I24" i="143"/>
  <c r="J19" i="143"/>
  <c r="AD18" i="143"/>
  <c r="AC18" i="143"/>
  <c r="AB18" i="143"/>
  <c r="Z18" i="143"/>
  <c r="X18" i="143"/>
  <c r="W18" i="143"/>
  <c r="V18" i="143"/>
  <c r="U18" i="143"/>
  <c r="T18" i="143"/>
  <c r="S18" i="143"/>
  <c r="N18" i="143"/>
  <c r="O18" i="143" s="1"/>
  <c r="J18" i="143"/>
  <c r="AA17" i="143"/>
  <c r="Z17" i="143"/>
  <c r="Y17" i="143"/>
  <c r="X17" i="143"/>
  <c r="W17" i="143"/>
  <c r="S17" i="143"/>
  <c r="AD16" i="143"/>
  <c r="AC16" i="143"/>
  <c r="AB16" i="143"/>
  <c r="AA16" i="143"/>
  <c r="Z16" i="143"/>
  <c r="Y16" i="143"/>
  <c r="X16" i="143"/>
  <c r="W16" i="143"/>
  <c r="V16" i="143"/>
  <c r="U16" i="143"/>
  <c r="T16" i="143"/>
  <c r="S16" i="143"/>
  <c r="AD15" i="143"/>
  <c r="AC15" i="143"/>
  <c r="AB15" i="143"/>
  <c r="W15" i="143"/>
  <c r="V15" i="143"/>
  <c r="U15" i="143"/>
  <c r="T15" i="143"/>
  <c r="S15" i="143"/>
  <c r="C14" i="143"/>
  <c r="D47" i="143" s="1"/>
  <c r="D10" i="143"/>
  <c r="B10" i="143"/>
  <c r="C9" i="143"/>
  <c r="C8" i="143"/>
  <c r="A5" i="143"/>
  <c r="P55" i="34"/>
  <c r="J55" i="34"/>
  <c r="N55" i="34" s="1"/>
  <c r="O55" i="34" s="1"/>
  <c r="I55" i="34"/>
  <c r="P54" i="34"/>
  <c r="J54" i="34"/>
  <c r="I54" i="34"/>
  <c r="P53" i="34"/>
  <c r="I53" i="34"/>
  <c r="J53" i="34" s="1"/>
  <c r="N53" i="34" s="1"/>
  <c r="O53" i="34" s="1"/>
  <c r="P52" i="34"/>
  <c r="J52" i="34"/>
  <c r="I52" i="34"/>
  <c r="P51" i="34"/>
  <c r="G51" i="34"/>
  <c r="D51" i="34"/>
  <c r="P50" i="34"/>
  <c r="I50" i="34"/>
  <c r="J50" i="34" s="1"/>
  <c r="P49" i="34"/>
  <c r="I49" i="34"/>
  <c r="N49" i="34" s="1"/>
  <c r="O49" i="34" s="1"/>
  <c r="P48" i="34"/>
  <c r="I48" i="34"/>
  <c r="J48" i="34" s="1"/>
  <c r="P47" i="34"/>
  <c r="J47" i="34"/>
  <c r="P46" i="34"/>
  <c r="I46" i="34"/>
  <c r="N46" i="34" s="1"/>
  <c r="O46" i="34" s="1"/>
  <c r="P45" i="34"/>
  <c r="I45" i="34"/>
  <c r="J45" i="34" s="1"/>
  <c r="P44" i="34"/>
  <c r="I44" i="34"/>
  <c r="J44" i="34" s="1"/>
  <c r="P43" i="34"/>
  <c r="J43" i="34"/>
  <c r="I43" i="34"/>
  <c r="P42" i="34"/>
  <c r="H42" i="34"/>
  <c r="J42" i="34" s="1"/>
  <c r="P41" i="34"/>
  <c r="I41" i="34"/>
  <c r="J41" i="34" s="1"/>
  <c r="N41" i="34" s="1"/>
  <c r="O41" i="34" s="1"/>
  <c r="P40" i="34"/>
  <c r="G40" i="34"/>
  <c r="J40" i="34" s="1"/>
  <c r="D40" i="34"/>
  <c r="P39" i="34"/>
  <c r="G39" i="34"/>
  <c r="J39" i="34" s="1"/>
  <c r="D39" i="34"/>
  <c r="P38" i="34"/>
  <c r="G38" i="34"/>
  <c r="J38" i="34" s="1"/>
  <c r="D38" i="34"/>
  <c r="P37" i="34"/>
  <c r="J37" i="34"/>
  <c r="I37" i="34"/>
  <c r="P36" i="34"/>
  <c r="I36" i="34"/>
  <c r="J36" i="34" s="1"/>
  <c r="P35" i="34"/>
  <c r="J35" i="34"/>
  <c r="I35" i="34"/>
  <c r="P34" i="34"/>
  <c r="J34" i="34"/>
  <c r="I34" i="34"/>
  <c r="P33" i="34"/>
  <c r="I33" i="34"/>
  <c r="J33" i="34" s="1"/>
  <c r="P32" i="34"/>
  <c r="I32" i="34"/>
  <c r="J32" i="34" s="1"/>
  <c r="P31" i="34"/>
  <c r="I31" i="34"/>
  <c r="J31" i="34" s="1"/>
  <c r="J26" i="34"/>
  <c r="O25" i="34"/>
  <c r="N25" i="34"/>
  <c r="J25" i="34"/>
  <c r="D17" i="34"/>
  <c r="D33" i="34" s="1"/>
  <c r="D11" i="34"/>
  <c r="B11" i="34"/>
  <c r="C11" i="34" s="1"/>
  <c r="C10" i="34"/>
  <c r="C9" i="34"/>
  <c r="A6" i="34"/>
  <c r="A4" i="34"/>
  <c r="D29" i="1"/>
  <c r="D30" i="1" s="1"/>
  <c r="E18" i="1"/>
  <c r="D27" i="148" l="1"/>
  <c r="N27" i="148" s="1"/>
  <c r="O27" i="148" s="1"/>
  <c r="D50" i="148"/>
  <c r="N50" i="148" s="1"/>
  <c r="O50" i="148" s="1"/>
  <c r="D53" i="148"/>
  <c r="N53" i="148" s="1"/>
  <c r="O53" i="148" s="1"/>
  <c r="D31" i="148"/>
  <c r="N31" i="148" s="1"/>
  <c r="O31" i="148" s="1"/>
  <c r="D34" i="147"/>
  <c r="L34" i="147" s="1"/>
  <c r="O34" i="147" s="1"/>
  <c r="D37" i="147"/>
  <c r="L37" i="147" s="1"/>
  <c r="O37" i="147" s="1"/>
  <c r="O34" i="148"/>
  <c r="M56" i="148"/>
  <c r="M58" i="148" s="1"/>
  <c r="O39" i="148"/>
  <c r="D29" i="148"/>
  <c r="N29" i="148" s="1"/>
  <c r="O29" i="148" s="1"/>
  <c r="D37" i="148"/>
  <c r="O37" i="148" s="1"/>
  <c r="D28" i="148"/>
  <c r="N28" i="148" s="1"/>
  <c r="O28" i="148" s="1"/>
  <c r="D32" i="148"/>
  <c r="N32" i="148" s="1"/>
  <c r="O32" i="148" s="1"/>
  <c r="D40" i="148"/>
  <c r="N40" i="148" s="1"/>
  <c r="O40" i="148" s="1"/>
  <c r="D49" i="148"/>
  <c r="O49" i="148" s="1"/>
  <c r="D52" i="148"/>
  <c r="N52" i="148" s="1"/>
  <c r="O52" i="148" s="1"/>
  <c r="D35" i="148"/>
  <c r="O35" i="148" s="1"/>
  <c r="D45" i="148"/>
  <c r="O45" i="148" s="1"/>
  <c r="J48" i="148"/>
  <c r="D51" i="148"/>
  <c r="N51" i="148" s="1"/>
  <c r="O51" i="148" s="1"/>
  <c r="D22" i="148"/>
  <c r="N22" i="148" s="1"/>
  <c r="D30" i="148"/>
  <c r="N30" i="148" s="1"/>
  <c r="O30" i="148" s="1"/>
  <c r="D38" i="148"/>
  <c r="N38" i="148" s="1"/>
  <c r="O38" i="148" s="1"/>
  <c r="J44" i="147"/>
  <c r="D49" i="147"/>
  <c r="L49" i="147" s="1"/>
  <c r="O49" i="147" s="1"/>
  <c r="D53" i="147"/>
  <c r="N53" i="147" s="1"/>
  <c r="O53" i="147" s="1"/>
  <c r="D29" i="147"/>
  <c r="N29" i="147" s="1"/>
  <c r="O29" i="147" s="1"/>
  <c r="D28" i="147"/>
  <c r="N28" i="147" s="1"/>
  <c r="O28" i="147" s="1"/>
  <c r="D32" i="147"/>
  <c r="N32" i="147" s="1"/>
  <c r="O32" i="147" s="1"/>
  <c r="D40" i="147"/>
  <c r="N40" i="147" s="1"/>
  <c r="O40" i="147" s="1"/>
  <c r="D52" i="147"/>
  <c r="N52" i="147" s="1"/>
  <c r="O52" i="147" s="1"/>
  <c r="D27" i="147"/>
  <c r="N27" i="147" s="1"/>
  <c r="D31" i="147"/>
  <c r="N31" i="147" s="1"/>
  <c r="O31" i="147" s="1"/>
  <c r="D39" i="147"/>
  <c r="M39" i="147" s="1"/>
  <c r="D45" i="147"/>
  <c r="O45" i="147" s="1"/>
  <c r="D51" i="147"/>
  <c r="N51" i="147" s="1"/>
  <c r="O51" i="147" s="1"/>
  <c r="D22" i="147"/>
  <c r="N22" i="147" s="1"/>
  <c r="O22" i="147" s="1"/>
  <c r="O23" i="147" s="1"/>
  <c r="D30" i="147"/>
  <c r="N30" i="147" s="1"/>
  <c r="O30" i="147" s="1"/>
  <c r="D38" i="147"/>
  <c r="N38" i="147" s="1"/>
  <c r="O38" i="147" s="1"/>
  <c r="D50" i="147"/>
  <c r="N50" i="147" s="1"/>
  <c r="O50" i="147" s="1"/>
  <c r="I43" i="145"/>
  <c r="J43" i="145" s="1"/>
  <c r="I37" i="37"/>
  <c r="J37" i="37" s="1"/>
  <c r="I38" i="128"/>
  <c r="J38" i="128" s="1"/>
  <c r="I38" i="138"/>
  <c r="J38" i="138" s="1"/>
  <c r="I43" i="129"/>
  <c r="J43" i="129" s="1"/>
  <c r="I35" i="119"/>
  <c r="J35" i="119" s="1"/>
  <c r="J45" i="143"/>
  <c r="N50" i="34"/>
  <c r="O50" i="34" s="1"/>
  <c r="N55" i="127"/>
  <c r="O55" i="127" s="1"/>
  <c r="L33" i="126"/>
  <c r="O33" i="126" s="1"/>
  <c r="J47" i="140"/>
  <c r="J51" i="140"/>
  <c r="J47" i="139"/>
  <c r="J47" i="131"/>
  <c r="U16" i="132"/>
  <c r="AD16" i="132"/>
  <c r="I35" i="133"/>
  <c r="J35" i="133" s="1"/>
  <c r="N35" i="133" s="1"/>
  <c r="O35" i="133" s="1"/>
  <c r="J43" i="133"/>
  <c r="T12" i="142"/>
  <c r="X12" i="142"/>
  <c r="J50" i="142"/>
  <c r="L46" i="143"/>
  <c r="O46" i="143" s="1"/>
  <c r="J50" i="140"/>
  <c r="J45" i="119"/>
  <c r="L49" i="138"/>
  <c r="O49" i="138" s="1"/>
  <c r="AC12" i="139"/>
  <c r="N51" i="139"/>
  <c r="O51" i="139" s="1"/>
  <c r="G35" i="139"/>
  <c r="J35" i="139" s="1"/>
  <c r="I38" i="139"/>
  <c r="J38" i="139" s="1"/>
  <c r="V12" i="129"/>
  <c r="AC12" i="129"/>
  <c r="H44" i="129"/>
  <c r="J44" i="129" s="1"/>
  <c r="J50" i="129"/>
  <c r="J44" i="131"/>
  <c r="V16" i="132"/>
  <c r="J40" i="132"/>
  <c r="N41" i="132"/>
  <c r="O41" i="132" s="1"/>
  <c r="U12" i="142"/>
  <c r="AB12" i="142"/>
  <c r="N49" i="142"/>
  <c r="O49" i="142" s="1"/>
  <c r="T12" i="136"/>
  <c r="X12" i="136"/>
  <c r="AB12" i="136"/>
  <c r="N33" i="34"/>
  <c r="O33" i="34" s="1"/>
  <c r="G33" i="143"/>
  <c r="J33" i="143" s="1"/>
  <c r="L36" i="37"/>
  <c r="O36" i="37" s="1"/>
  <c r="N51" i="138"/>
  <c r="O51" i="138" s="1"/>
  <c r="L56" i="129"/>
  <c r="O56" i="129" s="1"/>
  <c r="S16" i="132"/>
  <c r="W16" i="132"/>
  <c r="V12" i="142"/>
  <c r="U12" i="136"/>
  <c r="Y12" i="136"/>
  <c r="I15" i="142"/>
  <c r="L37" i="138"/>
  <c r="O37" i="138" s="1"/>
  <c r="J41" i="133"/>
  <c r="J46" i="34"/>
  <c r="N41" i="126"/>
  <c r="O41" i="126" s="1"/>
  <c r="I42" i="130"/>
  <c r="J42" i="130" s="1"/>
  <c r="I40" i="141"/>
  <c r="J40" i="141" s="1"/>
  <c r="I40" i="142"/>
  <c r="J40" i="142" s="1"/>
  <c r="L40" i="34"/>
  <c r="O40" i="34" s="1"/>
  <c r="L34" i="100"/>
  <c r="O34" i="100" s="1"/>
  <c r="C10" i="143"/>
  <c r="L33" i="119"/>
  <c r="O33" i="119" s="1"/>
  <c r="L45" i="100"/>
  <c r="O45" i="100" s="1"/>
  <c r="I15" i="141"/>
  <c r="C18" i="145"/>
  <c r="D18" i="145" s="1"/>
  <c r="L51" i="34"/>
  <c r="O51" i="34" s="1"/>
  <c r="C18" i="129"/>
  <c r="D18" i="129" s="1"/>
  <c r="I15" i="130"/>
  <c r="C18" i="141"/>
  <c r="D18" i="141" s="1"/>
  <c r="I15" i="145"/>
  <c r="C18" i="142"/>
  <c r="D18" i="142" s="1"/>
  <c r="L35" i="143"/>
  <c r="O35" i="143" s="1"/>
  <c r="I15" i="136"/>
  <c r="D34" i="143"/>
  <c r="D25" i="126"/>
  <c r="N25" i="126" s="1"/>
  <c r="O25" i="126" s="1"/>
  <c r="L34" i="126"/>
  <c r="O34" i="126" s="1"/>
  <c r="D34" i="145"/>
  <c r="D51" i="145" s="1"/>
  <c r="D43" i="145"/>
  <c r="D36" i="141"/>
  <c r="N36" i="141" s="1"/>
  <c r="O36" i="141" s="1"/>
  <c r="D44" i="145"/>
  <c r="M44" i="145" s="1"/>
  <c r="O44" i="145" s="1"/>
  <c r="AB12" i="138"/>
  <c r="V12" i="141"/>
  <c r="V13" i="128"/>
  <c r="V13" i="133"/>
  <c r="S13" i="119"/>
  <c r="AB13" i="37"/>
  <c r="W13" i="128"/>
  <c r="T13" i="119"/>
  <c r="W13" i="133"/>
  <c r="S13" i="37"/>
  <c r="AC13" i="37"/>
  <c r="U13" i="119"/>
  <c r="T13" i="37"/>
  <c r="AD13" i="37"/>
  <c r="AB13" i="128"/>
  <c r="V13" i="119"/>
  <c r="AC19" i="132"/>
  <c r="Y12" i="142"/>
  <c r="X12" i="139"/>
  <c r="Y12" i="139"/>
  <c r="Z12" i="142"/>
  <c r="Z12" i="139"/>
  <c r="X12" i="129"/>
  <c r="AA12" i="142"/>
  <c r="L40" i="129"/>
  <c r="O40" i="129" s="1"/>
  <c r="AA12" i="139"/>
  <c r="Y12" i="129"/>
  <c r="Z12" i="129"/>
  <c r="X12" i="138"/>
  <c r="Y12" i="138"/>
  <c r="Z12" i="138"/>
  <c r="X12" i="141"/>
  <c r="G35" i="138"/>
  <c r="G40" i="145"/>
  <c r="J40" i="145" s="1"/>
  <c r="G32" i="126"/>
  <c r="J32" i="126" s="1"/>
  <c r="G34" i="37"/>
  <c r="J34" i="37" s="1"/>
  <c r="X13" i="119"/>
  <c r="Y13" i="133"/>
  <c r="X13" i="128"/>
  <c r="Y13" i="119"/>
  <c r="Z13" i="133"/>
  <c r="X13" i="37"/>
  <c r="Y13" i="128"/>
  <c r="Z13" i="119"/>
  <c r="L31" i="119"/>
  <c r="O31" i="119" s="1"/>
  <c r="AA13" i="133"/>
  <c r="Y13" i="37"/>
  <c r="Z13" i="128"/>
  <c r="AA13" i="119"/>
  <c r="AA18" i="143"/>
  <c r="Z19" i="100"/>
  <c r="Z15" i="126"/>
  <c r="X19" i="132"/>
  <c r="G39" i="140"/>
  <c r="J39" i="140" s="1"/>
  <c r="Y19" i="132"/>
  <c r="Z19" i="132"/>
  <c r="G31" i="143"/>
  <c r="J31" i="143" s="1"/>
  <c r="X15" i="127"/>
  <c r="G38" i="127"/>
  <c r="J38" i="127" s="1"/>
  <c r="AA19" i="132"/>
  <c r="Y15" i="127"/>
  <c r="Y18" i="143"/>
  <c r="X19" i="100"/>
  <c r="AA15" i="127"/>
  <c r="J49" i="130"/>
  <c r="N41" i="119"/>
  <c r="O41" i="119" s="1"/>
  <c r="J43" i="138"/>
  <c r="N47" i="142"/>
  <c r="O47" i="142" s="1"/>
  <c r="N43" i="139"/>
  <c r="O43" i="139" s="1"/>
  <c r="J43" i="37"/>
  <c r="N38" i="132"/>
  <c r="O38" i="132" s="1"/>
  <c r="J40" i="100"/>
  <c r="J33" i="119"/>
  <c r="L32" i="119"/>
  <c r="O32" i="119" s="1"/>
  <c r="L41" i="145"/>
  <c r="O41" i="145" s="1"/>
  <c r="L39" i="127"/>
  <c r="O39" i="127" s="1"/>
  <c r="J33" i="126"/>
  <c r="J34" i="126"/>
  <c r="S18" i="100"/>
  <c r="U18" i="100"/>
  <c r="AB17" i="143"/>
  <c r="AC18" i="100"/>
  <c r="U17" i="143"/>
  <c r="AC17" i="143"/>
  <c r="G34" i="143" s="1"/>
  <c r="J34" i="143" s="1"/>
  <c r="V18" i="100"/>
  <c r="AD18" i="100"/>
  <c r="S18" i="132"/>
  <c r="T17" i="143"/>
  <c r="V17" i="143"/>
  <c r="AD17" i="143"/>
  <c r="W18" i="100"/>
  <c r="T18" i="132"/>
  <c r="AB18" i="132"/>
  <c r="AC18" i="132"/>
  <c r="V18" i="132"/>
  <c r="S17" i="132"/>
  <c r="T17" i="132"/>
  <c r="AB17" i="132"/>
  <c r="U17" i="132"/>
  <c r="AC17" i="132"/>
  <c r="V17" i="132"/>
  <c r="X15" i="143"/>
  <c r="G32" i="143" s="1"/>
  <c r="J32" i="143" s="1"/>
  <c r="AA16" i="132"/>
  <c r="Y15" i="143"/>
  <c r="Z15" i="143"/>
  <c r="X16" i="100"/>
  <c r="AA15" i="143"/>
  <c r="L39" i="34"/>
  <c r="O39" i="34" s="1"/>
  <c r="L40" i="140"/>
  <c r="O40" i="140" s="1"/>
  <c r="L33" i="100"/>
  <c r="O33" i="100" s="1"/>
  <c r="C20" i="142"/>
  <c r="C20" i="141"/>
  <c r="C20" i="145"/>
  <c r="C20" i="129"/>
  <c r="C17" i="139"/>
  <c r="C19" i="136"/>
  <c r="D16" i="136" s="1"/>
  <c r="D49" i="37"/>
  <c r="N49" i="37" s="1"/>
  <c r="O49" i="37" s="1"/>
  <c r="D39" i="37"/>
  <c r="N39" i="37" s="1"/>
  <c r="O39" i="37" s="1"/>
  <c r="L35" i="37"/>
  <c r="O35" i="37" s="1"/>
  <c r="D37" i="37"/>
  <c r="D37" i="128"/>
  <c r="L37" i="128" s="1"/>
  <c r="O37" i="128" s="1"/>
  <c r="L34" i="119"/>
  <c r="O34" i="119" s="1"/>
  <c r="I15" i="138"/>
  <c r="H34" i="132"/>
  <c r="J34" i="132" s="1"/>
  <c r="H40" i="131"/>
  <c r="J40" i="131" s="1"/>
  <c r="J49" i="34"/>
  <c r="N36" i="127"/>
  <c r="O36" i="127" s="1"/>
  <c r="J47" i="127"/>
  <c r="M37" i="126"/>
  <c r="M52" i="126" s="1"/>
  <c r="M54" i="126" s="1"/>
  <c r="D27" i="126"/>
  <c r="N27" i="126" s="1"/>
  <c r="O27" i="126" s="1"/>
  <c r="L52" i="140"/>
  <c r="O52" i="140" s="1"/>
  <c r="D31" i="37"/>
  <c r="N31" i="37" s="1"/>
  <c r="O31" i="37" s="1"/>
  <c r="D35" i="128"/>
  <c r="L35" i="128" s="1"/>
  <c r="O35" i="128" s="1"/>
  <c r="C17" i="138"/>
  <c r="D14" i="138" s="1"/>
  <c r="N47" i="138"/>
  <c r="O47" i="138" s="1"/>
  <c r="I15" i="129"/>
  <c r="D15" i="129"/>
  <c r="L38" i="34"/>
  <c r="O38" i="34" s="1"/>
  <c r="L32" i="100"/>
  <c r="O32" i="100" s="1"/>
  <c r="D44" i="129"/>
  <c r="D16" i="129"/>
  <c r="D57" i="129"/>
  <c r="N57" i="129" s="1"/>
  <c r="O57" i="129" s="1"/>
  <c r="D43" i="129"/>
  <c r="N48" i="136"/>
  <c r="O48" i="136" s="1"/>
  <c r="J48" i="136"/>
  <c r="N55" i="145"/>
  <c r="O55" i="145" s="1"/>
  <c r="J55" i="145"/>
  <c r="J50" i="127"/>
  <c r="J45" i="126"/>
  <c r="N35" i="140"/>
  <c r="O35" i="140" s="1"/>
  <c r="N51" i="119"/>
  <c r="O51" i="119" s="1"/>
  <c r="N50" i="141"/>
  <c r="O50" i="141" s="1"/>
  <c r="J50" i="141"/>
  <c r="J51" i="34"/>
  <c r="J35" i="143"/>
  <c r="D25" i="100"/>
  <c r="N25" i="100" s="1"/>
  <c r="O25" i="100" s="1"/>
  <c r="D35" i="127"/>
  <c r="N35" i="127" s="1"/>
  <c r="O35" i="127" s="1"/>
  <c r="L41" i="127"/>
  <c r="O41" i="127" s="1"/>
  <c r="L52" i="127"/>
  <c r="O52" i="127" s="1"/>
  <c r="D47" i="126"/>
  <c r="N47" i="126" s="1"/>
  <c r="O47" i="126" s="1"/>
  <c r="D27" i="37"/>
  <c r="N27" i="37" s="1"/>
  <c r="O27" i="37" s="1"/>
  <c r="D52" i="37"/>
  <c r="N52" i="37" s="1"/>
  <c r="O52" i="37" s="1"/>
  <c r="N44" i="128"/>
  <c r="O44" i="128" s="1"/>
  <c r="D14" i="139"/>
  <c r="I15" i="139"/>
  <c r="N47" i="143"/>
  <c r="O47" i="143" s="1"/>
  <c r="D34" i="128"/>
  <c r="L34" i="128" s="1"/>
  <c r="O34" i="128" s="1"/>
  <c r="D15" i="139"/>
  <c r="C19" i="130"/>
  <c r="D17" i="130" s="1"/>
  <c r="D38" i="138"/>
  <c r="N38" i="138" s="1"/>
  <c r="O38" i="138" s="1"/>
  <c r="D50" i="138"/>
  <c r="N50" i="138" s="1"/>
  <c r="O50" i="138" s="1"/>
  <c r="D32" i="138"/>
  <c r="N32" i="138" s="1"/>
  <c r="O32" i="138" s="1"/>
  <c r="D16" i="138"/>
  <c r="D53" i="138" s="1"/>
  <c r="N53" i="138" s="1"/>
  <c r="O53" i="138" s="1"/>
  <c r="N55" i="129"/>
  <c r="O55" i="129" s="1"/>
  <c r="J55" i="129"/>
  <c r="L38" i="127"/>
  <c r="O38" i="127" s="1"/>
  <c r="D26" i="119"/>
  <c r="D43" i="119" s="1"/>
  <c r="O43" i="119" s="1"/>
  <c r="D28" i="119"/>
  <c r="N28" i="119" s="1"/>
  <c r="O28" i="119" s="1"/>
  <c r="J45" i="145"/>
  <c r="D32" i="131"/>
  <c r="N32" i="131" s="1"/>
  <c r="O32" i="131" s="1"/>
  <c r="D31" i="131"/>
  <c r="N31" i="131" s="1"/>
  <c r="O31" i="131" s="1"/>
  <c r="D40" i="131"/>
  <c r="D50" i="131"/>
  <c r="N50" i="131" s="1"/>
  <c r="O50" i="131" s="1"/>
  <c r="D35" i="131"/>
  <c r="N35" i="131" s="1"/>
  <c r="O35" i="131" s="1"/>
  <c r="D48" i="131"/>
  <c r="N48" i="131" s="1"/>
  <c r="O48" i="131" s="1"/>
  <c r="N29" i="132"/>
  <c r="O29" i="132" s="1"/>
  <c r="L48" i="37"/>
  <c r="O48" i="37" s="1"/>
  <c r="N51" i="128"/>
  <c r="O51" i="128" s="1"/>
  <c r="D30" i="128"/>
  <c r="N30" i="128" s="1"/>
  <c r="O30" i="128" s="1"/>
  <c r="N53" i="142"/>
  <c r="O53" i="142" s="1"/>
  <c r="D40" i="141"/>
  <c r="D58" i="145"/>
  <c r="N58" i="145" s="1"/>
  <c r="O58" i="145" s="1"/>
  <c r="L41" i="129"/>
  <c r="O41" i="129" s="1"/>
  <c r="L40" i="130"/>
  <c r="O40" i="130" s="1"/>
  <c r="J47" i="141"/>
  <c r="J49" i="141"/>
  <c r="N39" i="136"/>
  <c r="O39" i="136" s="1"/>
  <c r="J46" i="136"/>
  <c r="J49" i="136"/>
  <c r="D50" i="128"/>
  <c r="N50" i="128" s="1"/>
  <c r="O50" i="128" s="1"/>
  <c r="L47" i="119"/>
  <c r="O47" i="119" s="1"/>
  <c r="L36" i="138"/>
  <c r="O36" i="138" s="1"/>
  <c r="L36" i="139"/>
  <c r="O36" i="139" s="1"/>
  <c r="L49" i="139"/>
  <c r="O49" i="139" s="1"/>
  <c r="L56" i="145"/>
  <c r="O56" i="145" s="1"/>
  <c r="J44" i="136"/>
  <c r="L41" i="130"/>
  <c r="O41" i="130" s="1"/>
  <c r="J41" i="130"/>
  <c r="L41" i="140"/>
  <c r="O41" i="140" s="1"/>
  <c r="L42" i="145"/>
  <c r="O42" i="145" s="1"/>
  <c r="G42" i="129"/>
  <c r="J42" i="129" s="1"/>
  <c r="L35" i="126"/>
  <c r="O35" i="126" s="1"/>
  <c r="L37" i="139"/>
  <c r="O37" i="139" s="1"/>
  <c r="J41" i="136"/>
  <c r="J44" i="130"/>
  <c r="M43" i="130"/>
  <c r="O43" i="130" s="1"/>
  <c r="M36" i="119"/>
  <c r="O36" i="119" s="1"/>
  <c r="D28" i="132"/>
  <c r="N28" i="132" s="1"/>
  <c r="O28" i="132" s="1"/>
  <c r="D28" i="100"/>
  <c r="N28" i="100" s="1"/>
  <c r="O28" i="100" s="1"/>
  <c r="D42" i="126"/>
  <c r="O42" i="126" s="1"/>
  <c r="D48" i="140"/>
  <c r="O48" i="140" s="1"/>
  <c r="D28" i="128"/>
  <c r="N28" i="128" s="1"/>
  <c r="O28" i="128" s="1"/>
  <c r="D32" i="128"/>
  <c r="N32" i="128" s="1"/>
  <c r="O32" i="128" s="1"/>
  <c r="D40" i="138"/>
  <c r="N40" i="138" s="1"/>
  <c r="O40" i="138" s="1"/>
  <c r="D52" i="138"/>
  <c r="N52" i="138" s="1"/>
  <c r="O52" i="138" s="1"/>
  <c r="D45" i="133"/>
  <c r="N45" i="133" s="1"/>
  <c r="O45" i="133" s="1"/>
  <c r="D51" i="142"/>
  <c r="N51" i="142" s="1"/>
  <c r="O51" i="142" s="1"/>
  <c r="D36" i="136"/>
  <c r="N36" i="136" s="1"/>
  <c r="O36" i="136" s="1"/>
  <c r="O61" i="133"/>
  <c r="D19" i="143"/>
  <c r="N19" i="143" s="1"/>
  <c r="D48" i="100"/>
  <c r="N48" i="100" s="1"/>
  <c r="O48" i="100" s="1"/>
  <c r="D34" i="140"/>
  <c r="N34" i="140" s="1"/>
  <c r="O34" i="140" s="1"/>
  <c r="D22" i="128"/>
  <c r="N22" i="128" s="1"/>
  <c r="D38" i="128"/>
  <c r="N38" i="128" s="1"/>
  <c r="O38" i="128" s="1"/>
  <c r="D53" i="128"/>
  <c r="N53" i="128" s="1"/>
  <c r="O53" i="128" s="1"/>
  <c r="D20" i="119"/>
  <c r="N20" i="119" s="1"/>
  <c r="N21" i="119" s="1"/>
  <c r="D29" i="138"/>
  <c r="D30" i="138" s="1"/>
  <c r="D37" i="145"/>
  <c r="N37" i="145" s="1"/>
  <c r="O37" i="145" s="1"/>
  <c r="D42" i="130"/>
  <c r="D31" i="127"/>
  <c r="N31" i="127" s="1"/>
  <c r="O31" i="127" s="1"/>
  <c r="D16" i="139"/>
  <c r="D53" i="139" s="1"/>
  <c r="N53" i="139" s="1"/>
  <c r="O53" i="139" s="1"/>
  <c r="D16" i="142"/>
  <c r="D27" i="142" s="1"/>
  <c r="D26" i="143"/>
  <c r="N26" i="143" s="1"/>
  <c r="O26" i="143" s="1"/>
  <c r="D34" i="127"/>
  <c r="N34" i="127" s="1"/>
  <c r="O34" i="127" s="1"/>
  <c r="D43" i="127"/>
  <c r="M43" i="127" s="1"/>
  <c r="M58" i="127" s="1"/>
  <c r="M60" i="127" s="1"/>
  <c r="D44" i="140"/>
  <c r="N44" i="140" s="1"/>
  <c r="O44" i="140" s="1"/>
  <c r="D51" i="37"/>
  <c r="N51" i="37" s="1"/>
  <c r="O51" i="37" s="1"/>
  <c r="D49" i="128"/>
  <c r="L49" i="128" s="1"/>
  <c r="O49" i="128" s="1"/>
  <c r="D37" i="119"/>
  <c r="N37" i="119" s="1"/>
  <c r="O37" i="119" s="1"/>
  <c r="D59" i="145"/>
  <c r="N59" i="145" s="1"/>
  <c r="O59" i="145" s="1"/>
  <c r="D41" i="131"/>
  <c r="N41" i="131" s="1"/>
  <c r="O41" i="131" s="1"/>
  <c r="D40" i="136"/>
  <c r="M40" i="136" s="1"/>
  <c r="O65" i="136"/>
  <c r="D32" i="139"/>
  <c r="N32" i="139" s="1"/>
  <c r="O32" i="139" s="1"/>
  <c r="D24" i="143"/>
  <c r="N24" i="143" s="1"/>
  <c r="O24" i="143" s="1"/>
  <c r="D26" i="140"/>
  <c r="N26" i="140" s="1"/>
  <c r="O26" i="140" s="1"/>
  <c r="O28" i="140" s="1"/>
  <c r="D27" i="128"/>
  <c r="N27" i="128" s="1"/>
  <c r="O27" i="128" s="1"/>
  <c r="D31" i="128"/>
  <c r="N31" i="128" s="1"/>
  <c r="O31" i="128" s="1"/>
  <c r="D25" i="119"/>
  <c r="D48" i="119"/>
  <c r="N48" i="119" s="1"/>
  <c r="O48" i="119" s="1"/>
  <c r="D50" i="119"/>
  <c r="N50" i="119" s="1"/>
  <c r="O50" i="119" s="1"/>
  <c r="D50" i="139"/>
  <c r="N50" i="139" s="1"/>
  <c r="O50" i="139" s="1"/>
  <c r="D30" i="133"/>
  <c r="N30" i="133" s="1"/>
  <c r="O30" i="133" s="1"/>
  <c r="D48" i="133"/>
  <c r="N48" i="133" s="1"/>
  <c r="O48" i="133" s="1"/>
  <c r="D33" i="136"/>
  <c r="N33" i="136" s="1"/>
  <c r="O33" i="136" s="1"/>
  <c r="D35" i="136"/>
  <c r="D52" i="136"/>
  <c r="N52" i="136" s="1"/>
  <c r="O52" i="136" s="1"/>
  <c r="D43" i="142"/>
  <c r="N43" i="142" s="1"/>
  <c r="O43" i="142" s="1"/>
  <c r="D29" i="100"/>
  <c r="N29" i="100" s="1"/>
  <c r="O29" i="100" s="1"/>
  <c r="D41" i="100"/>
  <c r="O41" i="100" s="1"/>
  <c r="O63" i="140"/>
  <c r="D29" i="37"/>
  <c r="N29" i="37" s="1"/>
  <c r="O29" i="37" s="1"/>
  <c r="D57" i="145"/>
  <c r="N57" i="145" s="1"/>
  <c r="O57" i="145" s="1"/>
  <c r="D34" i="129"/>
  <c r="D51" i="129" s="1"/>
  <c r="O51" i="129" s="1"/>
  <c r="D36" i="129"/>
  <c r="N36" i="129" s="1"/>
  <c r="O36" i="129" s="1"/>
  <c r="N46" i="129"/>
  <c r="O46" i="129" s="1"/>
  <c r="D59" i="129"/>
  <c r="N59" i="129" s="1"/>
  <c r="O59" i="129" s="1"/>
  <c r="D46" i="133"/>
  <c r="N46" i="133" s="1"/>
  <c r="O46" i="133" s="1"/>
  <c r="O66" i="141"/>
  <c r="D52" i="142"/>
  <c r="N52" i="142" s="1"/>
  <c r="O52" i="142" s="1"/>
  <c r="D42" i="136"/>
  <c r="N42" i="136" s="1"/>
  <c r="O42" i="136" s="1"/>
  <c r="D50" i="136"/>
  <c r="N50" i="136" s="1"/>
  <c r="O50" i="136" s="1"/>
  <c r="D37" i="100"/>
  <c r="N37" i="100" s="1"/>
  <c r="O37" i="100" s="1"/>
  <c r="D26" i="127"/>
  <c r="N26" i="127" s="1"/>
  <c r="N27" i="127" s="1"/>
  <c r="D48" i="127"/>
  <c r="O48" i="127" s="1"/>
  <c r="O63" i="127"/>
  <c r="D29" i="126"/>
  <c r="N29" i="126" s="1"/>
  <c r="O29" i="126" s="1"/>
  <c r="D33" i="140"/>
  <c r="N33" i="140" s="1"/>
  <c r="O33" i="140" s="1"/>
  <c r="D37" i="140"/>
  <c r="N37" i="140" s="1"/>
  <c r="O37" i="140" s="1"/>
  <c r="D39" i="128"/>
  <c r="M39" i="128" s="1"/>
  <c r="O39" i="128" s="1"/>
  <c r="D29" i="139"/>
  <c r="N29" i="139" s="1"/>
  <c r="O29" i="139" s="1"/>
  <c r="D34" i="142"/>
  <c r="N34" i="142" s="1"/>
  <c r="O34" i="142" s="1"/>
  <c r="D47" i="34"/>
  <c r="O47" i="34" s="1"/>
  <c r="D43" i="34"/>
  <c r="N43" i="34" s="1"/>
  <c r="O43" i="34" s="1"/>
  <c r="D52" i="34"/>
  <c r="N52" i="34" s="1"/>
  <c r="O52" i="34" s="1"/>
  <c r="D25" i="143"/>
  <c r="N25" i="143" s="1"/>
  <c r="O25" i="143" s="1"/>
  <c r="D42" i="143"/>
  <c r="O42" i="143" s="1"/>
  <c r="D32" i="34"/>
  <c r="N32" i="34" s="1"/>
  <c r="O32" i="34" s="1"/>
  <c r="D36" i="34"/>
  <c r="N36" i="34" s="1"/>
  <c r="O36" i="34" s="1"/>
  <c r="D31" i="34"/>
  <c r="N31" i="34" s="1"/>
  <c r="O31" i="34" s="1"/>
  <c r="D35" i="34"/>
  <c r="N35" i="34" s="1"/>
  <c r="O35" i="34" s="1"/>
  <c r="D42" i="34"/>
  <c r="M42" i="34" s="1"/>
  <c r="O62" i="34"/>
  <c r="D37" i="143"/>
  <c r="M37" i="143" s="1"/>
  <c r="D26" i="34"/>
  <c r="N26" i="34" s="1"/>
  <c r="D34" i="34"/>
  <c r="N34" i="34" s="1"/>
  <c r="O34" i="34" s="1"/>
  <c r="D54" i="34"/>
  <c r="N54" i="34" s="1"/>
  <c r="O54" i="34" s="1"/>
  <c r="D28" i="143"/>
  <c r="N28" i="143" s="1"/>
  <c r="O28" i="143" s="1"/>
  <c r="D49" i="143"/>
  <c r="N49" i="143" s="1"/>
  <c r="O49" i="143" s="1"/>
  <c r="D33" i="143"/>
  <c r="D29" i="143"/>
  <c r="N29" i="143" s="1"/>
  <c r="O29" i="143" s="1"/>
  <c r="D38" i="143"/>
  <c r="N38" i="143" s="1"/>
  <c r="O38" i="143" s="1"/>
  <c r="D27" i="143"/>
  <c r="N27" i="143" s="1"/>
  <c r="O27" i="143" s="1"/>
  <c r="D36" i="100"/>
  <c r="M36" i="100" s="1"/>
  <c r="D20" i="126"/>
  <c r="N20" i="126" s="1"/>
  <c r="D28" i="126"/>
  <c r="N28" i="126" s="1"/>
  <c r="O28" i="126" s="1"/>
  <c r="D53" i="140"/>
  <c r="N53" i="140" s="1"/>
  <c r="O53" i="140" s="1"/>
  <c r="D28" i="37"/>
  <c r="N28" i="37" s="1"/>
  <c r="O28" i="37" s="1"/>
  <c r="D32" i="37"/>
  <c r="N32" i="37" s="1"/>
  <c r="O32" i="37" s="1"/>
  <c r="D31" i="138"/>
  <c r="D39" i="138"/>
  <c r="M39" i="138" s="1"/>
  <c r="N20" i="100"/>
  <c r="D27" i="100"/>
  <c r="N27" i="100" s="1"/>
  <c r="O27" i="100" s="1"/>
  <c r="D33" i="127"/>
  <c r="N33" i="127" s="1"/>
  <c r="O33" i="127" s="1"/>
  <c r="D38" i="126"/>
  <c r="N38" i="126" s="1"/>
  <c r="O38" i="126" s="1"/>
  <c r="D32" i="140"/>
  <c r="N32" i="140" s="1"/>
  <c r="O32" i="140" s="1"/>
  <c r="D36" i="140"/>
  <c r="N36" i="140" s="1"/>
  <c r="O36" i="140" s="1"/>
  <c r="D55" i="140"/>
  <c r="N55" i="140" s="1"/>
  <c r="O55" i="140" s="1"/>
  <c r="D44" i="37"/>
  <c r="O44" i="37" s="1"/>
  <c r="D50" i="37"/>
  <c r="N50" i="37" s="1"/>
  <c r="O50" i="37" s="1"/>
  <c r="D29" i="128"/>
  <c r="N29" i="128" s="1"/>
  <c r="O29" i="128" s="1"/>
  <c r="D52" i="128"/>
  <c r="N52" i="128" s="1"/>
  <c r="O52" i="128" s="1"/>
  <c r="D27" i="119"/>
  <c r="D35" i="119"/>
  <c r="N35" i="119" s="1"/>
  <c r="O35" i="119" s="1"/>
  <c r="D31" i="139"/>
  <c r="D40" i="139"/>
  <c r="N40" i="139" s="1"/>
  <c r="O40" i="139" s="1"/>
  <c r="D46" i="100"/>
  <c r="N46" i="100" s="1"/>
  <c r="O46" i="100" s="1"/>
  <c r="D44" i="127"/>
  <c r="N44" i="127" s="1"/>
  <c r="O44" i="127" s="1"/>
  <c r="D53" i="127"/>
  <c r="N53" i="127" s="1"/>
  <c r="O53" i="127" s="1"/>
  <c r="D26" i="126"/>
  <c r="N26" i="126" s="1"/>
  <c r="O26" i="126" s="1"/>
  <c r="D30" i="126"/>
  <c r="N30" i="126" s="1"/>
  <c r="O30" i="126" s="1"/>
  <c r="D49" i="126"/>
  <c r="N49" i="126" s="1"/>
  <c r="O49" i="126" s="1"/>
  <c r="D43" i="140"/>
  <c r="M43" i="140" s="1"/>
  <c r="D22" i="37"/>
  <c r="N22" i="37" s="1"/>
  <c r="D30" i="37"/>
  <c r="N30" i="37" s="1"/>
  <c r="O30" i="37" s="1"/>
  <c r="D38" i="37"/>
  <c r="M38" i="37" s="1"/>
  <c r="D49" i="119"/>
  <c r="N49" i="119" s="1"/>
  <c r="O49" i="119" s="1"/>
  <c r="D26" i="100"/>
  <c r="N26" i="100" s="1"/>
  <c r="O26" i="100" s="1"/>
  <c r="D32" i="127"/>
  <c r="N32" i="127" s="1"/>
  <c r="O32" i="127" s="1"/>
  <c r="D40" i="128"/>
  <c r="N40" i="128" s="1"/>
  <c r="O40" i="128" s="1"/>
  <c r="D45" i="128"/>
  <c r="O45" i="128" s="1"/>
  <c r="D52" i="139"/>
  <c r="N52" i="139" s="1"/>
  <c r="O52" i="139" s="1"/>
  <c r="D38" i="139"/>
  <c r="D39" i="139"/>
  <c r="M39" i="139" s="1"/>
  <c r="D36" i="145"/>
  <c r="D58" i="129"/>
  <c r="N58" i="129" s="1"/>
  <c r="O58" i="129" s="1"/>
  <c r="D58" i="130"/>
  <c r="N58" i="130" s="1"/>
  <c r="O58" i="130" s="1"/>
  <c r="D42" i="132"/>
  <c r="N42" i="132" s="1"/>
  <c r="O42" i="132" s="1"/>
  <c r="D47" i="133"/>
  <c r="N47" i="133" s="1"/>
  <c r="O47" i="133" s="1"/>
  <c r="D16" i="141"/>
  <c r="D51" i="136"/>
  <c r="N51" i="136" s="1"/>
  <c r="O51" i="136" s="1"/>
  <c r="D57" i="130"/>
  <c r="N57" i="130" s="1"/>
  <c r="O57" i="130" s="1"/>
  <c r="D35" i="132"/>
  <c r="N35" i="132" s="1"/>
  <c r="O35" i="132" s="1"/>
  <c r="D37" i="129"/>
  <c r="D33" i="130"/>
  <c r="D34" i="130" s="1"/>
  <c r="N34" i="130" s="1"/>
  <c r="O34" i="130" s="1"/>
  <c r="D45" i="130"/>
  <c r="N45" i="130" s="1"/>
  <c r="O45" i="130" s="1"/>
  <c r="D26" i="131"/>
  <c r="N26" i="131" s="1"/>
  <c r="D34" i="131"/>
  <c r="N34" i="131" s="1"/>
  <c r="O34" i="131" s="1"/>
  <c r="O58" i="131"/>
  <c r="N20" i="132"/>
  <c r="D27" i="132"/>
  <c r="N27" i="132" s="1"/>
  <c r="O27" i="132" s="1"/>
  <c r="D31" i="132"/>
  <c r="N31" i="132" s="1"/>
  <c r="O31" i="132" s="1"/>
  <c r="D44" i="132"/>
  <c r="N44" i="132" s="1"/>
  <c r="O44" i="132" s="1"/>
  <c r="O56" i="132"/>
  <c r="D22" i="133"/>
  <c r="N22" i="133" s="1"/>
  <c r="D29" i="133"/>
  <c r="N29" i="133" s="1"/>
  <c r="O29" i="133" s="1"/>
  <c r="D33" i="133"/>
  <c r="N33" i="133" s="1"/>
  <c r="O33" i="133" s="1"/>
  <c r="D37" i="133"/>
  <c r="N37" i="133" s="1"/>
  <c r="O37" i="133" s="1"/>
  <c r="D43" i="141"/>
  <c r="N43" i="141" s="1"/>
  <c r="O43" i="141" s="1"/>
  <c r="D53" i="141"/>
  <c r="N53" i="141" s="1"/>
  <c r="O53" i="141" s="1"/>
  <c r="D37" i="142"/>
  <c r="N37" i="142" s="1"/>
  <c r="O37" i="142" s="1"/>
  <c r="D41" i="142"/>
  <c r="M41" i="142" s="1"/>
  <c r="O66" i="142"/>
  <c r="D56" i="130"/>
  <c r="N56" i="130" s="1"/>
  <c r="O56" i="130" s="1"/>
  <c r="D34" i="132"/>
  <c r="D36" i="130"/>
  <c r="N36" i="130" s="1"/>
  <c r="O36" i="130" s="1"/>
  <c r="D33" i="131"/>
  <c r="N33" i="131" s="1"/>
  <c r="O33" i="131" s="1"/>
  <c r="D37" i="131"/>
  <c r="N37" i="131" s="1"/>
  <c r="O37" i="131" s="1"/>
  <c r="O63" i="131"/>
  <c r="D26" i="132"/>
  <c r="N26" i="132" s="1"/>
  <c r="O26" i="132" s="1"/>
  <c r="D28" i="133"/>
  <c r="N28" i="133" s="1"/>
  <c r="O28" i="133" s="1"/>
  <c r="D32" i="133"/>
  <c r="N32" i="133" s="1"/>
  <c r="O32" i="133" s="1"/>
  <c r="D36" i="133"/>
  <c r="M36" i="133" s="1"/>
  <c r="D34" i="141"/>
  <c r="N34" i="141" s="1"/>
  <c r="O34" i="141" s="1"/>
  <c r="D52" i="141"/>
  <c r="N52" i="141" s="1"/>
  <c r="O52" i="141" s="1"/>
  <c r="D36" i="142"/>
  <c r="D40" i="142"/>
  <c r="D16" i="130"/>
  <c r="D35" i="130"/>
  <c r="N35" i="130" s="1"/>
  <c r="O35" i="130" s="1"/>
  <c r="D25" i="132"/>
  <c r="N25" i="132" s="1"/>
  <c r="O25" i="132" s="1"/>
  <c r="D23" i="133"/>
  <c r="N23" i="133" s="1"/>
  <c r="O23" i="133" s="1"/>
  <c r="D31" i="133"/>
  <c r="N31" i="133" s="1"/>
  <c r="O31" i="133" s="1"/>
  <c r="D37" i="141"/>
  <c r="N37" i="141" s="1"/>
  <c r="O37" i="141" s="1"/>
  <c r="D41" i="141"/>
  <c r="M41" i="141" s="1"/>
  <c r="J42" i="37"/>
  <c r="J46" i="142"/>
  <c r="J40" i="126"/>
  <c r="J46" i="140"/>
  <c r="J43" i="128"/>
  <c r="J40" i="133"/>
  <c r="M44" i="129" l="1"/>
  <c r="O44" i="129" s="1"/>
  <c r="O22" i="148"/>
  <c r="O23" i="148" s="1"/>
  <c r="N23" i="148"/>
  <c r="L56" i="148"/>
  <c r="L58" i="148" s="1"/>
  <c r="O66" i="148" s="1"/>
  <c r="O39" i="147"/>
  <c r="M56" i="147"/>
  <c r="M58" i="147" s="1"/>
  <c r="O27" i="147"/>
  <c r="N23" i="147"/>
  <c r="L56" i="147"/>
  <c r="L58" i="147" s="1"/>
  <c r="O66" i="147" s="1"/>
  <c r="L33" i="143"/>
  <c r="O33" i="143" s="1"/>
  <c r="N37" i="37"/>
  <c r="O37" i="37" s="1"/>
  <c r="N38" i="139"/>
  <c r="O38" i="139" s="1"/>
  <c r="N43" i="129"/>
  <c r="O43" i="129" s="1"/>
  <c r="N43" i="145"/>
  <c r="O43" i="145" s="1"/>
  <c r="D15" i="138"/>
  <c r="L35" i="139"/>
  <c r="O35" i="139" s="1"/>
  <c r="M34" i="132"/>
  <c r="M47" i="132" s="1"/>
  <c r="M49" i="132" s="1"/>
  <c r="L34" i="37"/>
  <c r="O34" i="37" s="1"/>
  <c r="D30" i="139"/>
  <c r="N30" i="139" s="1"/>
  <c r="O30" i="139" s="1"/>
  <c r="M40" i="131"/>
  <c r="M53" i="131" s="1"/>
  <c r="M55" i="131" s="1"/>
  <c r="L34" i="143"/>
  <c r="O34" i="143" s="1"/>
  <c r="N42" i="130"/>
  <c r="O42" i="130" s="1"/>
  <c r="N40" i="141"/>
  <c r="O40" i="141" s="1"/>
  <c r="N40" i="142"/>
  <c r="O40" i="142" s="1"/>
  <c r="O37" i="126"/>
  <c r="D24" i="138"/>
  <c r="N24" i="138" s="1"/>
  <c r="O24" i="138" s="1"/>
  <c r="O25" i="138" s="1"/>
  <c r="L56" i="128"/>
  <c r="L58" i="128" s="1"/>
  <c r="O66" i="128" s="1"/>
  <c r="N34" i="145"/>
  <c r="O34" i="145" s="1"/>
  <c r="N28" i="140"/>
  <c r="D38" i="140" s="1"/>
  <c r="N38" i="140" s="1"/>
  <c r="D44" i="139"/>
  <c r="O44" i="139" s="1"/>
  <c r="D45" i="138"/>
  <c r="O45" i="138" s="1"/>
  <c r="N30" i="138"/>
  <c r="O30" i="138" s="1"/>
  <c r="D35" i="141"/>
  <c r="N35" i="141" s="1"/>
  <c r="O35" i="141" s="1"/>
  <c r="D24" i="139"/>
  <c r="N24" i="139" s="1"/>
  <c r="O24" i="139" s="1"/>
  <c r="O25" i="139" s="1"/>
  <c r="D51" i="130"/>
  <c r="O51" i="130" s="1"/>
  <c r="N26" i="119"/>
  <c r="O26" i="119" s="1"/>
  <c r="D35" i="142"/>
  <c r="N35" i="142" s="1"/>
  <c r="O35" i="142" s="1"/>
  <c r="D35" i="129"/>
  <c r="D35" i="145"/>
  <c r="D34" i="136"/>
  <c r="N34" i="136" s="1"/>
  <c r="O34" i="136" s="1"/>
  <c r="L31" i="143"/>
  <c r="O31" i="143" s="1"/>
  <c r="L35" i="138"/>
  <c r="J35" i="138"/>
  <c r="L40" i="145"/>
  <c r="O40" i="145" s="1"/>
  <c r="L54" i="119"/>
  <c r="L56" i="119" s="1"/>
  <c r="L32" i="126"/>
  <c r="L52" i="126" s="1"/>
  <c r="L54" i="126" s="1"/>
  <c r="O62" i="126" s="1"/>
  <c r="L39" i="140"/>
  <c r="O39" i="140" s="1"/>
  <c r="L32" i="143"/>
  <c r="O32" i="143" s="1"/>
  <c r="L57" i="34"/>
  <c r="L59" i="34" s="1"/>
  <c r="O67" i="34" s="1"/>
  <c r="L51" i="100"/>
  <c r="L53" i="100" s="1"/>
  <c r="O60" i="100" s="1"/>
  <c r="D26" i="136"/>
  <c r="D53" i="136"/>
  <c r="N53" i="136" s="1"/>
  <c r="O53" i="136" s="1"/>
  <c r="N34" i="129"/>
  <c r="O34" i="129" s="1"/>
  <c r="D14" i="136"/>
  <c r="I25" i="136" s="1"/>
  <c r="O20" i="119"/>
  <c r="O21" i="119" s="1"/>
  <c r="D60" i="129"/>
  <c r="N60" i="129" s="1"/>
  <c r="O60" i="129" s="1"/>
  <c r="D27" i="129"/>
  <c r="D19" i="145"/>
  <c r="D29" i="145" s="1"/>
  <c r="N29" i="145" s="1"/>
  <c r="O29" i="145" s="1"/>
  <c r="D14" i="129"/>
  <c r="D28" i="129" s="1"/>
  <c r="D45" i="129" s="1"/>
  <c r="M45" i="129" s="1"/>
  <c r="O45" i="129" s="1"/>
  <c r="D19" i="129"/>
  <c r="D29" i="129" s="1"/>
  <c r="N29" i="129" s="1"/>
  <c r="O29" i="129" s="1"/>
  <c r="M56" i="128"/>
  <c r="M58" i="128" s="1"/>
  <c r="D17" i="136"/>
  <c r="O43" i="127"/>
  <c r="O26" i="127"/>
  <c r="O27" i="127" s="1"/>
  <c r="D15" i="145"/>
  <c r="D17" i="145"/>
  <c r="D16" i="145"/>
  <c r="D14" i="145"/>
  <c r="D28" i="145" s="1"/>
  <c r="D45" i="145" s="1"/>
  <c r="M45" i="145" s="1"/>
  <c r="D15" i="136"/>
  <c r="D15" i="141"/>
  <c r="D19" i="141"/>
  <c r="D29" i="141" s="1"/>
  <c r="N29" i="141" s="1"/>
  <c r="O29" i="141" s="1"/>
  <c r="D14" i="141"/>
  <c r="D28" i="141" s="1"/>
  <c r="D42" i="141" s="1"/>
  <c r="M42" i="141" s="1"/>
  <c r="O42" i="141" s="1"/>
  <c r="D17" i="141"/>
  <c r="L58" i="127"/>
  <c r="L60" i="127" s="1"/>
  <c r="O68" i="127" s="1"/>
  <c r="D15" i="130"/>
  <c r="D14" i="130"/>
  <c r="I25" i="130" s="1"/>
  <c r="D15" i="142"/>
  <c r="D19" i="142"/>
  <c r="D29" i="142" s="1"/>
  <c r="N29" i="142" s="1"/>
  <c r="O29" i="142" s="1"/>
  <c r="D14" i="142"/>
  <c r="L42" i="129"/>
  <c r="L62" i="130"/>
  <c r="L64" i="130" s="1"/>
  <c r="O71" i="130" s="1"/>
  <c r="O40" i="136"/>
  <c r="M54" i="119"/>
  <c r="M56" i="119" s="1"/>
  <c r="D54" i="142"/>
  <c r="N54" i="142" s="1"/>
  <c r="O54" i="142" s="1"/>
  <c r="D42" i="119"/>
  <c r="O42" i="119" s="1"/>
  <c r="N25" i="119"/>
  <c r="O25" i="119" s="1"/>
  <c r="D44" i="138"/>
  <c r="O44" i="138" s="1"/>
  <c r="N29" i="138"/>
  <c r="O29" i="138" s="1"/>
  <c r="D37" i="136"/>
  <c r="N37" i="136" s="1"/>
  <c r="O37" i="136" s="1"/>
  <c r="N35" i="136"/>
  <c r="O35" i="136" s="1"/>
  <c r="O22" i="133"/>
  <c r="O24" i="133" s="1"/>
  <c r="N24" i="133"/>
  <c r="D59" i="130"/>
  <c r="N59" i="130" s="1"/>
  <c r="O59" i="130" s="1"/>
  <c r="D26" i="130"/>
  <c r="O41" i="142"/>
  <c r="N27" i="131"/>
  <c r="O26" i="131"/>
  <c r="O27" i="131" s="1"/>
  <c r="M55" i="37"/>
  <c r="M57" i="37" s="1"/>
  <c r="O38" i="37"/>
  <c r="O41" i="141"/>
  <c r="M51" i="133"/>
  <c r="M53" i="133" s="1"/>
  <c r="O36" i="133"/>
  <c r="N27" i="34"/>
  <c r="O26" i="34"/>
  <c r="O27" i="34" s="1"/>
  <c r="M57" i="34"/>
  <c r="M59" i="34" s="1"/>
  <c r="O42" i="34"/>
  <c r="N36" i="145"/>
  <c r="D38" i="145"/>
  <c r="N38" i="145" s="1"/>
  <c r="O38" i="145" s="1"/>
  <c r="M56" i="138"/>
  <c r="M58" i="138" s="1"/>
  <c r="O39" i="138"/>
  <c r="D27" i="141"/>
  <c r="D54" i="141"/>
  <c r="N54" i="141" s="1"/>
  <c r="O54" i="141" s="1"/>
  <c r="M58" i="140"/>
  <c r="M60" i="140" s="1"/>
  <c r="O43" i="140"/>
  <c r="D29" i="119"/>
  <c r="N29" i="119" s="1"/>
  <c r="O29" i="119" s="1"/>
  <c r="N27" i="119"/>
  <c r="O27" i="119" s="1"/>
  <c r="D33" i="138"/>
  <c r="N33" i="138" s="1"/>
  <c r="O33" i="138" s="1"/>
  <c r="N31" i="138"/>
  <c r="O31" i="138" s="1"/>
  <c r="D30" i="119"/>
  <c r="N30" i="119" s="1"/>
  <c r="O30" i="119" s="1"/>
  <c r="D44" i="119"/>
  <c r="N44" i="119" s="1"/>
  <c r="O44" i="119" s="1"/>
  <c r="D40" i="119"/>
  <c r="N40" i="119" s="1"/>
  <c r="O40" i="119" s="1"/>
  <c r="D39" i="119"/>
  <c r="N39" i="119" s="1"/>
  <c r="O39" i="119" s="1"/>
  <c r="O22" i="37"/>
  <c r="O23" i="37" s="1"/>
  <c r="N23" i="37"/>
  <c r="N36" i="142"/>
  <c r="D38" i="142"/>
  <c r="N38" i="142" s="1"/>
  <c r="O38" i="142" s="1"/>
  <c r="D50" i="130"/>
  <c r="O50" i="130" s="1"/>
  <c r="N33" i="130"/>
  <c r="D38" i="141"/>
  <c r="N38" i="141" s="1"/>
  <c r="O38" i="141" s="1"/>
  <c r="N21" i="132"/>
  <c r="O20" i="132"/>
  <c r="O21" i="132" s="1"/>
  <c r="D38" i="129"/>
  <c r="N38" i="129" s="1"/>
  <c r="O38" i="129" s="1"/>
  <c r="N37" i="129"/>
  <c r="O37" i="129" s="1"/>
  <c r="O36" i="100"/>
  <c r="M51" i="100"/>
  <c r="M53" i="100" s="1"/>
  <c r="D37" i="130"/>
  <c r="N37" i="130" s="1"/>
  <c r="O37" i="130" s="1"/>
  <c r="N21" i="100"/>
  <c r="O20" i="100"/>
  <c r="O21" i="100" s="1"/>
  <c r="N21" i="126"/>
  <c r="O20" i="126"/>
  <c r="O21" i="126" s="1"/>
  <c r="N20" i="143"/>
  <c r="O19" i="143"/>
  <c r="O20" i="143" s="1"/>
  <c r="M56" i="139"/>
  <c r="M58" i="139" s="1"/>
  <c r="O39" i="139"/>
  <c r="D33" i="139"/>
  <c r="N33" i="139" s="1"/>
  <c r="O33" i="139" s="1"/>
  <c r="N31" i="139"/>
  <c r="O31" i="139" s="1"/>
  <c r="N23" i="128"/>
  <c r="O22" i="128"/>
  <c r="O23" i="128" s="1"/>
  <c r="M52" i="143"/>
  <c r="M54" i="143" s="1"/>
  <c r="O37" i="143"/>
  <c r="D49" i="127"/>
  <c r="N49" i="127" s="1"/>
  <c r="O49" i="127" s="1"/>
  <c r="D37" i="127"/>
  <c r="N37" i="127" s="1"/>
  <c r="O37" i="127" s="1"/>
  <c r="D46" i="127"/>
  <c r="N46" i="127" s="1"/>
  <c r="D45" i="127"/>
  <c r="N45" i="127" s="1"/>
  <c r="O45" i="127" s="1"/>
  <c r="O34" i="132" l="1"/>
  <c r="D42" i="148"/>
  <c r="N42" i="148" s="1"/>
  <c r="O42" i="148" s="1"/>
  <c r="D46" i="148"/>
  <c r="N46" i="148" s="1"/>
  <c r="O46" i="148" s="1"/>
  <c r="D43" i="148"/>
  <c r="N43" i="148" s="1"/>
  <c r="O43" i="148" s="1"/>
  <c r="D33" i="148"/>
  <c r="N33" i="148" s="1"/>
  <c r="D42" i="147"/>
  <c r="N42" i="147" s="1"/>
  <c r="O42" i="147" s="1"/>
  <c r="D43" i="147"/>
  <c r="N43" i="147" s="1"/>
  <c r="O43" i="147" s="1"/>
  <c r="D46" i="147"/>
  <c r="N46" i="147" s="1"/>
  <c r="O46" i="147" s="1"/>
  <c r="D33" i="147"/>
  <c r="N33" i="147" s="1"/>
  <c r="L56" i="139"/>
  <c r="L58" i="139" s="1"/>
  <c r="O65" i="139" s="1"/>
  <c r="L55" i="37"/>
  <c r="L57" i="37" s="1"/>
  <c r="O65" i="37" s="1"/>
  <c r="D45" i="139"/>
  <c r="O45" i="139" s="1"/>
  <c r="N25" i="138"/>
  <c r="D41" i="138" s="1"/>
  <c r="O40" i="131"/>
  <c r="D49" i="140"/>
  <c r="N49" i="140" s="1"/>
  <c r="O49" i="140" s="1"/>
  <c r="N25" i="139"/>
  <c r="N46" i="139" s="1"/>
  <c r="O46" i="139" s="1"/>
  <c r="D45" i="140"/>
  <c r="N45" i="140" s="1"/>
  <c r="O45" i="140" s="1"/>
  <c r="D46" i="140"/>
  <c r="N46" i="140" s="1"/>
  <c r="O46" i="140" s="1"/>
  <c r="M63" i="129"/>
  <c r="M65" i="129" s="1"/>
  <c r="N35" i="145"/>
  <c r="O35" i="145" s="1"/>
  <c r="D52" i="145"/>
  <c r="N35" i="129"/>
  <c r="O35" i="129" s="1"/>
  <c r="D52" i="129"/>
  <c r="O52" i="129" s="1"/>
  <c r="L63" i="145"/>
  <c r="L65" i="145" s="1"/>
  <c r="O72" i="145" s="1"/>
  <c r="O35" i="138"/>
  <c r="L56" i="138"/>
  <c r="L58" i="138" s="1"/>
  <c r="O65" i="138" s="1"/>
  <c r="O32" i="126"/>
  <c r="L58" i="140"/>
  <c r="L60" i="140" s="1"/>
  <c r="O68" i="140" s="1"/>
  <c r="L52" i="143"/>
  <c r="L54" i="143" s="1"/>
  <c r="O61" i="143" s="1"/>
  <c r="D27" i="130"/>
  <c r="D44" i="130" s="1"/>
  <c r="M44" i="130" s="1"/>
  <c r="M62" i="130" s="1"/>
  <c r="M64" i="130" s="1"/>
  <c r="D18" i="130"/>
  <c r="D28" i="130" s="1"/>
  <c r="N28" i="130" s="1"/>
  <c r="O28" i="130" s="1"/>
  <c r="N28" i="141"/>
  <c r="D44" i="141"/>
  <c r="N44" i="141" s="1"/>
  <c r="O44" i="141" s="1"/>
  <c r="M57" i="141"/>
  <c r="M59" i="141" s="1"/>
  <c r="D28" i="142"/>
  <c r="D42" i="142" s="1"/>
  <c r="M42" i="142" s="1"/>
  <c r="O42" i="142" s="1"/>
  <c r="D47" i="129"/>
  <c r="N47" i="129" s="1"/>
  <c r="O47" i="129" s="1"/>
  <c r="N28" i="129"/>
  <c r="D27" i="136"/>
  <c r="D41" i="136" s="1"/>
  <c r="M41" i="136" s="1"/>
  <c r="O41" i="136" s="1"/>
  <c r="O45" i="145"/>
  <c r="M63" i="145"/>
  <c r="M65" i="145" s="1"/>
  <c r="D47" i="145"/>
  <c r="N47" i="145" s="1"/>
  <c r="O47" i="145" s="1"/>
  <c r="N28" i="145"/>
  <c r="D60" i="145"/>
  <c r="N60" i="145" s="1"/>
  <c r="O60" i="145" s="1"/>
  <c r="D27" i="145"/>
  <c r="D18" i="136"/>
  <c r="D28" i="136" s="1"/>
  <c r="N28" i="136" s="1"/>
  <c r="O28" i="136" s="1"/>
  <c r="O42" i="129"/>
  <c r="L63" i="129"/>
  <c r="L65" i="129" s="1"/>
  <c r="O72" i="129" s="1"/>
  <c r="N54" i="119"/>
  <c r="N56" i="119" s="1"/>
  <c r="D40" i="143"/>
  <c r="N40" i="143" s="1"/>
  <c r="O40" i="143" s="1"/>
  <c r="D43" i="143"/>
  <c r="N43" i="143" s="1"/>
  <c r="O43" i="143" s="1"/>
  <c r="D39" i="143"/>
  <c r="N39" i="143" s="1"/>
  <c r="O39" i="143" s="1"/>
  <c r="D30" i="143"/>
  <c r="N30" i="143" s="1"/>
  <c r="D40" i="126"/>
  <c r="N40" i="126" s="1"/>
  <c r="O40" i="126" s="1"/>
  <c r="D43" i="126"/>
  <c r="N43" i="126" s="1"/>
  <c r="O43" i="126" s="1"/>
  <c r="D31" i="126"/>
  <c r="N31" i="126" s="1"/>
  <c r="D39" i="126"/>
  <c r="N39" i="126" s="1"/>
  <c r="O39" i="126" s="1"/>
  <c r="O33" i="130"/>
  <c r="O36" i="145"/>
  <c r="D42" i="128"/>
  <c r="N42" i="128" s="1"/>
  <c r="O42" i="128" s="1"/>
  <c r="D43" i="128"/>
  <c r="N43" i="128" s="1"/>
  <c r="O43" i="128" s="1"/>
  <c r="D33" i="128"/>
  <c r="N33" i="128" s="1"/>
  <c r="D46" i="128"/>
  <c r="N46" i="128" s="1"/>
  <c r="O46" i="128" s="1"/>
  <c r="D36" i="131"/>
  <c r="N36" i="131" s="1"/>
  <c r="D38" i="131"/>
  <c r="N38" i="131" s="1"/>
  <c r="O38" i="131" s="1"/>
  <c r="D42" i="131"/>
  <c r="N42" i="131" s="1"/>
  <c r="O42" i="131" s="1"/>
  <c r="D43" i="131"/>
  <c r="N43" i="131" s="1"/>
  <c r="O43" i="131" s="1"/>
  <c r="D45" i="131"/>
  <c r="N45" i="131" s="1"/>
  <c r="O45" i="131" s="1"/>
  <c r="O54" i="119"/>
  <c r="O56" i="119" s="1"/>
  <c r="O36" i="142"/>
  <c r="D39" i="133"/>
  <c r="N39" i="133" s="1"/>
  <c r="O39" i="133" s="1"/>
  <c r="D42" i="133"/>
  <c r="N42" i="133" s="1"/>
  <c r="O42" i="133" s="1"/>
  <c r="D40" i="133"/>
  <c r="N40" i="133" s="1"/>
  <c r="O40" i="133" s="1"/>
  <c r="D34" i="133"/>
  <c r="N34" i="133" s="1"/>
  <c r="D45" i="34"/>
  <c r="N45" i="34" s="1"/>
  <c r="D48" i="34"/>
  <c r="N48" i="34" s="1"/>
  <c r="O48" i="34" s="1"/>
  <c r="D44" i="34"/>
  <c r="N44" i="34" s="1"/>
  <c r="O44" i="34" s="1"/>
  <c r="D37" i="34"/>
  <c r="N37" i="34" s="1"/>
  <c r="O37" i="34" s="1"/>
  <c r="D37" i="132"/>
  <c r="N37" i="132" s="1"/>
  <c r="O37" i="132" s="1"/>
  <c r="D30" i="132"/>
  <c r="N30" i="132" s="1"/>
  <c r="D39" i="132"/>
  <c r="N39" i="132" s="1"/>
  <c r="O39" i="132" s="1"/>
  <c r="D36" i="132"/>
  <c r="N36" i="132" s="1"/>
  <c r="O36" i="132" s="1"/>
  <c r="D32" i="132"/>
  <c r="N32" i="132" s="1"/>
  <c r="O32" i="132" s="1"/>
  <c r="N58" i="127"/>
  <c r="N60" i="127" s="1"/>
  <c r="O46" i="127"/>
  <c r="O58" i="127" s="1"/>
  <c r="O60" i="127" s="1"/>
  <c r="O38" i="140"/>
  <c r="D42" i="100"/>
  <c r="N42" i="100" s="1"/>
  <c r="O42" i="100" s="1"/>
  <c r="D38" i="100"/>
  <c r="N38" i="100" s="1"/>
  <c r="O38" i="100" s="1"/>
  <c r="D31" i="100"/>
  <c r="N31" i="100" s="1"/>
  <c r="D39" i="100"/>
  <c r="N39" i="100" s="1"/>
  <c r="O39" i="100" s="1"/>
  <c r="D45" i="37"/>
  <c r="N45" i="37" s="1"/>
  <c r="O45" i="37" s="1"/>
  <c r="D33" i="37"/>
  <c r="N33" i="37" s="1"/>
  <c r="D41" i="37"/>
  <c r="N41" i="37" s="1"/>
  <c r="O41" i="37" s="1"/>
  <c r="D42" i="37"/>
  <c r="N42" i="37" s="1"/>
  <c r="O42" i="37" s="1"/>
  <c r="O33" i="148" l="1"/>
  <c r="O56" i="148" s="1"/>
  <c r="N56" i="148"/>
  <c r="N58" i="148" s="1"/>
  <c r="O33" i="147"/>
  <c r="O56" i="147" s="1"/>
  <c r="N56" i="147"/>
  <c r="N58" i="147" s="1"/>
  <c r="O44" i="130"/>
  <c r="M57" i="142"/>
  <c r="M59" i="142" s="1"/>
  <c r="N42" i="138"/>
  <c r="O42" i="138" s="1"/>
  <c r="D42" i="138"/>
  <c r="N46" i="138"/>
  <c r="O46" i="138" s="1"/>
  <c r="N41" i="138"/>
  <c r="O41" i="138" s="1"/>
  <c r="D34" i="138"/>
  <c r="N34" i="138" s="1"/>
  <c r="O34" i="138" s="1"/>
  <c r="D46" i="138"/>
  <c r="D34" i="139"/>
  <c r="N34" i="139" s="1"/>
  <c r="O34" i="139" s="1"/>
  <c r="D42" i="139"/>
  <c r="N41" i="139"/>
  <c r="O41" i="139" s="1"/>
  <c r="N42" i="139"/>
  <c r="O42" i="139" s="1"/>
  <c r="D41" i="139"/>
  <c r="M56" i="136"/>
  <c r="M58" i="136" s="1"/>
  <c r="D46" i="139"/>
  <c r="N58" i="140"/>
  <c r="N60" i="140" s="1"/>
  <c r="O58" i="140"/>
  <c r="O60" i="140" s="1"/>
  <c r="O67" i="140" s="1"/>
  <c r="N25" i="136"/>
  <c r="J25" i="136"/>
  <c r="O28" i="141"/>
  <c r="O30" i="141" s="1"/>
  <c r="N30" i="141"/>
  <c r="J25" i="130"/>
  <c r="N25" i="130"/>
  <c r="D43" i="136"/>
  <c r="N43" i="136" s="1"/>
  <c r="O43" i="136" s="1"/>
  <c r="N27" i="136"/>
  <c r="O27" i="136" s="1"/>
  <c r="D46" i="130"/>
  <c r="N46" i="130" s="1"/>
  <c r="O46" i="130" s="1"/>
  <c r="N27" i="130"/>
  <c r="O27" i="130" s="1"/>
  <c r="O28" i="129"/>
  <c r="O30" i="129" s="1"/>
  <c r="N30" i="129"/>
  <c r="D44" i="142"/>
  <c r="N44" i="142" s="1"/>
  <c r="O44" i="142" s="1"/>
  <c r="N28" i="142"/>
  <c r="O28" i="145"/>
  <c r="O30" i="145" s="1"/>
  <c r="N30" i="145"/>
  <c r="O59" i="119"/>
  <c r="O61" i="119" s="1"/>
  <c r="O33" i="37"/>
  <c r="O55" i="37" s="1"/>
  <c r="N55" i="37"/>
  <c r="N57" i="37" s="1"/>
  <c r="O30" i="143"/>
  <c r="O52" i="143" s="1"/>
  <c r="O54" i="143" s="1"/>
  <c r="O56" i="143" s="1"/>
  <c r="N52" i="143"/>
  <c r="N54" i="143" s="1"/>
  <c r="O63" i="119"/>
  <c r="N57" i="34"/>
  <c r="N59" i="34" s="1"/>
  <c r="O45" i="34"/>
  <c r="O57" i="34" s="1"/>
  <c r="O59" i="34" s="1"/>
  <c r="O65" i="127"/>
  <c r="O67" i="127"/>
  <c r="O34" i="133"/>
  <c r="O51" i="133" s="1"/>
  <c r="N51" i="133"/>
  <c r="N53" i="133" s="1"/>
  <c r="O31" i="100"/>
  <c r="O51" i="100" s="1"/>
  <c r="O53" i="100" s="1"/>
  <c r="N51" i="100"/>
  <c r="N53" i="100" s="1"/>
  <c r="O36" i="131"/>
  <c r="O53" i="131" s="1"/>
  <c r="O55" i="131" s="1"/>
  <c r="N53" i="131"/>
  <c r="N55" i="131" s="1"/>
  <c r="O33" i="128"/>
  <c r="O56" i="128" s="1"/>
  <c r="N56" i="128"/>
  <c r="N58" i="128" s="1"/>
  <c r="O31" i="126"/>
  <c r="O52" i="126" s="1"/>
  <c r="O54" i="126" s="1"/>
  <c r="O57" i="126" s="1"/>
  <c r="N52" i="126"/>
  <c r="N54" i="126" s="1"/>
  <c r="O30" i="132"/>
  <c r="O47" i="132" s="1"/>
  <c r="O49" i="132" s="1"/>
  <c r="O51" i="132" s="1"/>
  <c r="N47" i="132"/>
  <c r="N49" i="132" s="1"/>
  <c r="O61" i="148" l="1"/>
  <c r="O58" i="148"/>
  <c r="O61" i="147"/>
  <c r="O58" i="147"/>
  <c r="O56" i="138"/>
  <c r="O58" i="138" s="1"/>
  <c r="N56" i="138"/>
  <c r="N58" i="138" s="1"/>
  <c r="O56" i="139"/>
  <c r="O60" i="139" s="1"/>
  <c r="N56" i="139"/>
  <c r="N58" i="139" s="1"/>
  <c r="O65" i="140"/>
  <c r="O25" i="130"/>
  <c r="N29" i="130"/>
  <c r="N53" i="145"/>
  <c r="O53" i="145" s="1"/>
  <c r="N48" i="145"/>
  <c r="N49" i="145"/>
  <c r="O49" i="145" s="1"/>
  <c r="D53" i="145"/>
  <c r="D39" i="145"/>
  <c r="D48" i="145"/>
  <c r="D49" i="145"/>
  <c r="N53" i="129"/>
  <c r="O53" i="129" s="1"/>
  <c r="D53" i="129"/>
  <c r="D49" i="129"/>
  <c r="D39" i="129"/>
  <c r="N39" i="129" s="1"/>
  <c r="N49" i="129"/>
  <c r="O49" i="129" s="1"/>
  <c r="D48" i="129"/>
  <c r="N48" i="129"/>
  <c r="O48" i="129" s="1"/>
  <c r="D45" i="141"/>
  <c r="D46" i="141"/>
  <c r="D39" i="141"/>
  <c r="N39" i="141" s="1"/>
  <c r="N48" i="141"/>
  <c r="O48" i="141" s="1"/>
  <c r="N45" i="141"/>
  <c r="O45" i="141" s="1"/>
  <c r="N46" i="141"/>
  <c r="O46" i="141" s="1"/>
  <c r="D48" i="141"/>
  <c r="N29" i="136"/>
  <c r="O25" i="136"/>
  <c r="O28" i="142"/>
  <c r="N30" i="142"/>
  <c r="O59" i="100"/>
  <c r="O55" i="100"/>
  <c r="O57" i="100" s="1"/>
  <c r="O58" i="128"/>
  <c r="O61" i="128"/>
  <c r="O61" i="126"/>
  <c r="O59" i="126"/>
  <c r="O58" i="143"/>
  <c r="O60" i="143"/>
  <c r="O60" i="131"/>
  <c r="O62" i="131"/>
  <c r="O53" i="133"/>
  <c r="O56" i="133"/>
  <c r="O55" i="132"/>
  <c r="O53" i="132"/>
  <c r="O60" i="37"/>
  <c r="O57" i="37"/>
  <c r="O64" i="34"/>
  <c r="O66" i="34"/>
  <c r="O63" i="148" l="1"/>
  <c r="O65" i="148"/>
  <c r="O63" i="147"/>
  <c r="O65" i="147"/>
  <c r="O60" i="138"/>
  <c r="O58" i="139"/>
  <c r="O62" i="139" s="1"/>
  <c r="O64" i="139" s="1"/>
  <c r="O39" i="129"/>
  <c r="O63" i="129" s="1"/>
  <c r="N63" i="129"/>
  <c r="N65" i="129" s="1"/>
  <c r="N46" i="142"/>
  <c r="O46" i="142" s="1"/>
  <c r="D39" i="142"/>
  <c r="N39" i="142" s="1"/>
  <c r="N45" i="142"/>
  <c r="O45" i="142" s="1"/>
  <c r="N48" i="142"/>
  <c r="O48" i="142" s="1"/>
  <c r="D48" i="142"/>
  <c r="D45" i="142"/>
  <c r="D46" i="142"/>
  <c r="O48" i="145"/>
  <c r="O63" i="145" s="1"/>
  <c r="N63" i="145"/>
  <c r="N65" i="145" s="1"/>
  <c r="O39" i="141"/>
  <c r="O57" i="141" s="1"/>
  <c r="N57" i="141"/>
  <c r="N59" i="141" s="1"/>
  <c r="D48" i="130"/>
  <c r="D47" i="130"/>
  <c r="D38" i="130"/>
  <c r="N38" i="130" s="1"/>
  <c r="N52" i="130"/>
  <c r="O52" i="130" s="1"/>
  <c r="N48" i="130"/>
  <c r="O48" i="130" s="1"/>
  <c r="D52" i="130"/>
  <c r="N47" i="130"/>
  <c r="O47" i="130" s="1"/>
  <c r="O30" i="142"/>
  <c r="O29" i="136"/>
  <c r="D44" i="136"/>
  <c r="N47" i="136"/>
  <c r="O47" i="136" s="1"/>
  <c r="D47" i="136"/>
  <c r="D45" i="136"/>
  <c r="D38" i="136"/>
  <c r="N38" i="136" s="1"/>
  <c r="N45" i="136"/>
  <c r="O45" i="136" s="1"/>
  <c r="N44" i="136"/>
  <c r="O44" i="136" s="1"/>
  <c r="O29" i="130"/>
  <c r="O62" i="138"/>
  <c r="O64" i="138" s="1"/>
  <c r="O65" i="128"/>
  <c r="O63" i="128"/>
  <c r="O62" i="37"/>
  <c r="O64" i="37"/>
  <c r="O58" i="133"/>
  <c r="O60" i="133"/>
  <c r="O59" i="141" l="1"/>
  <c r="O61" i="141"/>
  <c r="O38" i="136"/>
  <c r="O56" i="136" s="1"/>
  <c r="N56" i="136"/>
  <c r="N58" i="136" s="1"/>
  <c r="O39" i="142"/>
  <c r="O57" i="142" s="1"/>
  <c r="O61" i="142" s="1"/>
  <c r="N57" i="142"/>
  <c r="N59" i="142" s="1"/>
  <c r="O65" i="145"/>
  <c r="O67" i="145"/>
  <c r="O38" i="130"/>
  <c r="O62" i="130" s="1"/>
  <c r="O66" i="130" s="1"/>
  <c r="N62" i="130"/>
  <c r="N64" i="130" s="1"/>
  <c r="O67" i="129"/>
  <c r="O65" i="129"/>
  <c r="O59" i="142" l="1"/>
  <c r="O63" i="142" s="1"/>
  <c r="O65" i="142" s="1"/>
  <c r="O63" i="141"/>
  <c r="O65" i="141" s="1"/>
  <c r="O69" i="145"/>
  <c r="O71" i="145" s="1"/>
  <c r="O69" i="129"/>
  <c r="O71" i="129" s="1"/>
  <c r="O58" i="136"/>
  <c r="O60" i="136"/>
  <c r="O64" i="130"/>
  <c r="O68" i="130" s="1"/>
  <c r="O70" i="130" s="1"/>
  <c r="O62" i="136" l="1"/>
  <c r="O64" i="1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aep</author>
    <author xml:space="preserve"> </author>
    <author>American Electric Power®</author>
    <author>AEP</author>
    <author>aepuser</author>
    <author>s184006</author>
  </authors>
  <commentList>
    <comment ref="A14" authorId="0" shapeId="0" xr:uid="{00000000-0006-0000-0000-000001000000}">
      <text>
        <r>
          <rPr>
            <b/>
            <sz val="8"/>
            <color indexed="81"/>
            <rFont val="Tahoma"/>
            <family val="2"/>
          </rPr>
          <t xml:space="preserve">Enter the kW contract capacity for GS-2 and GS-3 services.  </t>
        </r>
      </text>
    </comment>
    <comment ref="F14" authorId="1" shapeId="0" xr:uid="{00000000-0006-0000-0000-000002000000}">
      <text>
        <r>
          <rPr>
            <b/>
            <sz val="8"/>
            <color indexed="81"/>
            <rFont val="Tahoma"/>
            <family val="2"/>
          </rPr>
          <t xml:space="preserve"> Generally the delivery and measurement of energy is at the same voltage. If not, measurement will be compensated to the delivery voltage.  Metered energy and demand are adjusted for billing purposes.  Applies to GS2, GS3, and GS4 services. 
Mark selection with as "x".</t>
        </r>
        <r>
          <rPr>
            <sz val="8"/>
            <color indexed="81"/>
            <rFont val="Tahoma"/>
            <family val="2"/>
          </rPr>
          <t xml:space="preserve">
</t>
        </r>
      </text>
    </comment>
    <comment ref="A15" authorId="2" shapeId="0" xr:uid="{00000000-0006-0000-0000-000003000000}">
      <text>
        <r>
          <rPr>
            <b/>
            <sz val="9"/>
            <color indexed="81"/>
            <rFont val="Tahoma"/>
            <family val="2"/>
          </rPr>
          <t xml:space="preserve">Enter the Minimum Billing Demand (kW) as specified in the service contract (GS-4 only).  </t>
        </r>
        <r>
          <rPr>
            <sz val="9"/>
            <color indexed="81"/>
            <rFont val="Tahoma"/>
            <family val="2"/>
          </rPr>
          <t xml:space="preserve">
</t>
        </r>
      </text>
    </comment>
    <comment ref="A16" authorId="0" shapeId="0" xr:uid="{00000000-0006-0000-0000-000004000000}">
      <text>
        <r>
          <rPr>
            <b/>
            <sz val="8"/>
            <color indexed="10"/>
            <rFont val="Tahoma"/>
            <family val="2"/>
          </rPr>
          <t>GS-2, GS-3, and GS-4 only</t>
        </r>
        <r>
          <rPr>
            <b/>
            <sz val="8"/>
            <color indexed="81"/>
            <rFont val="Tahoma"/>
            <family val="2"/>
          </rPr>
          <t xml:space="preserve"> - Enter the highest previous billing demand (kW) for the current and last 11 months </t>
        </r>
        <r>
          <rPr>
            <b/>
            <u/>
            <sz val="8"/>
            <color indexed="81"/>
            <rFont val="Tahoma"/>
            <family val="2"/>
          </rPr>
          <t>only if</t>
        </r>
        <r>
          <rPr>
            <b/>
            <sz val="8"/>
            <color indexed="81"/>
            <rFont val="Tahoma"/>
            <family val="2"/>
          </rPr>
          <t xml:space="preserve"> the average demand over the same time period exceeds 100 kW. </t>
        </r>
      </text>
    </comment>
    <comment ref="A18" authorId="0" shapeId="0" xr:uid="{00000000-0006-0000-0000-000005000000}">
      <text>
        <r>
          <rPr>
            <b/>
            <sz val="8"/>
            <color indexed="81"/>
            <rFont val="Tahoma"/>
            <family val="2"/>
          </rPr>
          <t xml:space="preserve">Enter the billing demand (applicable to RR PEV, GS-2, GS-3, and GS-4).  Enter both kW and kVa for GS-4.  This is the On-Peak demand for customers with the Time Of Day option. </t>
        </r>
        <r>
          <rPr>
            <sz val="8"/>
            <color indexed="81"/>
            <rFont val="Tahoma"/>
            <family val="2"/>
          </rPr>
          <t xml:space="preserve">
</t>
        </r>
      </text>
    </comment>
    <comment ref="A19" authorId="0" shapeId="0" xr:uid="{00000000-0006-0000-0000-000006000000}">
      <text>
        <r>
          <rPr>
            <b/>
            <sz val="8"/>
            <color indexed="81"/>
            <rFont val="Tahoma"/>
            <family val="2"/>
          </rPr>
          <t>Enter the off-peak billing demand when the Time Of Day option is applicable (applies to GS-2, GS-3, and GS-4).  Enter both the kW and kVa for GS-4.</t>
        </r>
        <r>
          <rPr>
            <sz val="8"/>
            <color indexed="81"/>
            <rFont val="Tahoma"/>
            <family val="2"/>
          </rPr>
          <t xml:space="preserve">
</t>
        </r>
      </text>
    </comment>
    <comment ref="A21" authorId="3" shapeId="0" xr:uid="{00000000-0006-0000-0000-000007000000}">
      <text>
        <r>
          <rPr>
            <b/>
            <sz val="8"/>
            <color indexed="81"/>
            <rFont val="Tahoma"/>
            <family val="2"/>
          </rPr>
          <t xml:space="preserve">Enter the "Net" metered kWh  (on-peak kWh if applicable).  Applies to </t>
        </r>
        <r>
          <rPr>
            <b/>
            <sz val="8"/>
            <color indexed="10"/>
            <rFont val="Tahoma"/>
            <family val="2"/>
          </rPr>
          <t>RS - Ex TOD</t>
        </r>
        <r>
          <rPr>
            <b/>
            <sz val="8"/>
            <color indexed="81"/>
            <rFont val="Tahoma"/>
            <family val="2"/>
          </rPr>
          <t xml:space="preserve"> and </t>
        </r>
        <r>
          <rPr>
            <b/>
            <sz val="8"/>
            <color indexed="10"/>
            <rFont val="Tahoma"/>
            <family val="2"/>
          </rPr>
          <t>RS-Ex CPP</t>
        </r>
        <r>
          <rPr>
            <b/>
            <sz val="8"/>
            <color indexed="81"/>
            <rFont val="Tahoma"/>
            <family val="2"/>
          </rPr>
          <t xml:space="preserve"> as "High Cost KWH".
</t>
        </r>
        <r>
          <rPr>
            <b/>
            <sz val="8"/>
            <color indexed="10"/>
            <rFont val="Tahoma"/>
            <family val="2"/>
          </rPr>
          <t>GS-3 only</t>
        </r>
        <r>
          <rPr>
            <b/>
            <sz val="8"/>
            <color indexed="81"/>
            <rFont val="Tahoma"/>
            <family val="2"/>
          </rPr>
          <t xml:space="preserve"> - Enter the "Delivered"  kWh (on-peak kWh if applicable) </t>
        </r>
        <r>
          <rPr>
            <sz val="8"/>
            <color indexed="81"/>
            <rFont val="Tahoma"/>
            <family val="2"/>
          </rPr>
          <t xml:space="preserve">
</t>
        </r>
      </text>
    </comment>
    <comment ref="A22" authorId="3" shapeId="0" xr:uid="{00000000-0006-0000-0000-000008000000}">
      <text>
        <r>
          <rPr>
            <b/>
            <sz val="8"/>
            <color indexed="81"/>
            <rFont val="Tahoma"/>
            <family val="2"/>
          </rPr>
          <t xml:space="preserve">Enter the "Net" metered off-peak kWh (applies to </t>
        </r>
        <r>
          <rPr>
            <b/>
            <sz val="8"/>
            <color indexed="10"/>
            <rFont val="Tahoma"/>
            <family val="2"/>
          </rPr>
          <t>RS-Ex TOD</t>
        </r>
        <r>
          <rPr>
            <b/>
            <sz val="8"/>
            <color indexed="81"/>
            <rFont val="Tahoma"/>
            <family val="2"/>
          </rPr>
          <t xml:space="preserve"> and </t>
        </r>
        <r>
          <rPr>
            <b/>
            <sz val="8"/>
            <color indexed="10"/>
            <rFont val="Tahoma"/>
            <family val="2"/>
          </rPr>
          <t>RS-Ex CPP</t>
        </r>
        <r>
          <rPr>
            <b/>
            <sz val="8"/>
            <color indexed="81"/>
            <rFont val="Tahoma"/>
            <family val="2"/>
          </rPr>
          <t xml:space="preserve"> as "Low Cost KWH").
</t>
        </r>
        <r>
          <rPr>
            <b/>
            <sz val="8"/>
            <color indexed="10"/>
            <rFont val="Tahoma"/>
            <family val="2"/>
          </rPr>
          <t>GS-3 only</t>
        </r>
        <r>
          <rPr>
            <b/>
            <sz val="8"/>
            <color indexed="81"/>
            <rFont val="Tahoma"/>
            <family val="2"/>
          </rPr>
          <t xml:space="preserve"> - Enter the "Delivered" off-peak kWh.</t>
        </r>
        <r>
          <rPr>
            <sz val="8"/>
            <color indexed="81"/>
            <rFont val="Tahoma"/>
            <family val="2"/>
          </rPr>
          <t xml:space="preserve">
</t>
        </r>
      </text>
    </comment>
    <comment ref="A23" authorId="2" shapeId="0" xr:uid="{00000000-0006-0000-0000-000009000000}">
      <text>
        <r>
          <rPr>
            <b/>
            <sz val="8"/>
            <color indexed="81"/>
            <rFont val="Tahoma"/>
            <family val="2"/>
          </rPr>
          <t xml:space="preserve">GS-3 only - Enter the "Received" kWh (energy sent back to Ohio Power).
</t>
        </r>
      </text>
    </comment>
    <comment ref="A26" authorId="3" shapeId="0" xr:uid="{00000000-0006-0000-0000-00000A000000}">
      <text>
        <r>
          <rPr>
            <b/>
            <sz val="8"/>
            <color indexed="81"/>
            <rFont val="Tahoma"/>
            <family val="2"/>
          </rPr>
          <t>Enter highest kVAR demand.  GS-4 customers only.</t>
        </r>
        <r>
          <rPr>
            <sz val="8"/>
            <color indexed="81"/>
            <rFont val="Tahoma"/>
            <family val="2"/>
          </rPr>
          <t xml:space="preserve">
</t>
        </r>
      </text>
    </comment>
    <comment ref="A27" authorId="0" shapeId="0" xr:uid="{00000000-0006-0000-0000-00000B000000}">
      <text>
        <r>
          <rPr>
            <b/>
            <sz val="8"/>
            <color indexed="81"/>
            <rFont val="Tahoma"/>
            <family val="2"/>
          </rPr>
          <t xml:space="preserve">Enter the reactive hours, if measured.  It applies to GS2 and GS3.  If preferred, power factor can be entered in lieu below. </t>
        </r>
      </text>
    </comment>
    <comment ref="A29" authorId="0" shapeId="0" xr:uid="{00000000-0006-0000-0000-00000C000000}">
      <text>
        <r>
          <rPr>
            <b/>
            <sz val="8"/>
            <color indexed="81"/>
            <rFont val="Tahoma"/>
            <family val="2"/>
          </rPr>
          <t>Enter power factor in unit format (applies to GS2, GS3, and GS4).  Do not enter if reactive hours is being used.</t>
        </r>
        <r>
          <rPr>
            <sz val="8"/>
            <color indexed="81"/>
            <rFont val="Tahoma"/>
            <family val="2"/>
          </rPr>
          <t xml:space="preserve">
</t>
        </r>
      </text>
    </comment>
    <comment ref="A32" authorId="4" shapeId="0" xr:uid="{00000000-0006-0000-0000-00000D000000}">
      <text>
        <r>
          <rPr>
            <b/>
            <sz val="8"/>
            <color indexed="81"/>
            <rFont val="Tahoma"/>
            <family val="2"/>
          </rPr>
          <t>Customers with 45 million annual KWH consumption can self-assess the KWH tax.  The rate is 0.257 cents/KWH for the first 500 million kWh consumed annually and 0.172 cents/kWh for each kWh in excess of the 500 million kWh consumed.  Payments are made to the State of Ohio.</t>
        </r>
      </text>
    </comment>
    <comment ref="A33" authorId="3" shapeId="0" xr:uid="{00000000-0006-0000-0000-00000E000000}">
      <text>
        <r>
          <rPr>
            <b/>
            <sz val="8"/>
            <color indexed="81"/>
            <rFont val="Tahoma"/>
            <family val="2"/>
          </rPr>
          <t>Federal Government accounts are exempt from the KWH Tax rider.</t>
        </r>
        <r>
          <rPr>
            <sz val="8"/>
            <color indexed="81"/>
            <rFont val="Tahoma"/>
            <family val="2"/>
          </rPr>
          <t xml:space="preserve">
</t>
        </r>
      </text>
    </comment>
    <comment ref="A34" authorId="5" shapeId="0" xr:uid="{00000000-0006-0000-0000-00000F000000}">
      <text>
        <r>
          <rPr>
            <b/>
            <sz val="9"/>
            <color indexed="81"/>
            <rFont val="Tahoma"/>
            <family val="2"/>
          </rPr>
          <t>Check this box when customer has opted out of Energy Efficiency programs.</t>
        </r>
      </text>
    </comment>
  </commentList>
</comments>
</file>

<file path=xl/sharedStrings.xml><?xml version="1.0" encoding="utf-8"?>
<sst xmlns="http://schemas.openxmlformats.org/spreadsheetml/2006/main" count="3660" uniqueCount="327">
  <si>
    <r>
      <t xml:space="preserve">Power Factor (%) </t>
    </r>
    <r>
      <rPr>
        <sz val="8"/>
        <color indexed="10"/>
        <rFont val="Arial"/>
        <family val="2"/>
      </rPr>
      <t>optional</t>
    </r>
  </si>
  <si>
    <t>Rate</t>
  </si>
  <si>
    <t>Customer Name:</t>
  </si>
  <si>
    <t>Billing Month:</t>
  </si>
  <si>
    <t>Energy Efficiency Fund</t>
  </si>
  <si>
    <t>Gross Receipts Tax Credit</t>
  </si>
  <si>
    <t>Application</t>
  </si>
  <si>
    <t>Effective Date</t>
  </si>
  <si>
    <t>x</t>
  </si>
  <si>
    <t>Regulatory Assest Charge (GS1)</t>
  </si>
  <si>
    <t>Regulatory Assest Charge (GS2)</t>
  </si>
  <si>
    <t>Regulatory Assest Charge (GS3)</t>
  </si>
  <si>
    <t>Regulatory Assest Charge (GS4)</t>
  </si>
  <si>
    <t>Municipal Income Tax (open access)</t>
  </si>
  <si>
    <t>Municipal Income Tax (bundled)</t>
  </si>
  <si>
    <t xml:space="preserve"> </t>
  </si>
  <si>
    <t>Franchise Tax (open access)</t>
  </si>
  <si>
    <t>Franchise Tax (bundled)</t>
  </si>
  <si>
    <t>Property Tax Credit (Residential)</t>
  </si>
  <si>
    <t>Property Tax Credit (GS1)</t>
  </si>
  <si>
    <t>Property Tax Credit (GS2)</t>
  </si>
  <si>
    <t>Property Tax Credit (GS3)</t>
  </si>
  <si>
    <t>Property Tax Credit (GS4)</t>
  </si>
  <si>
    <t>Rider</t>
  </si>
  <si>
    <t>Customer Load Information</t>
  </si>
  <si>
    <t>Move mouse over red corner marker to see notes.</t>
  </si>
  <si>
    <t>Account #:</t>
  </si>
  <si>
    <t>Billing Parameters</t>
  </si>
  <si>
    <t>On-Peak Demand:</t>
  </si>
  <si>
    <t>Off-Peak Demand:</t>
  </si>
  <si>
    <t>Load Factor:</t>
  </si>
  <si>
    <t>Bill Calculation</t>
  </si>
  <si>
    <t>Customer Charge</t>
  </si>
  <si>
    <t>Demand Charge</t>
  </si>
  <si>
    <t>Total</t>
  </si>
  <si>
    <t>Title Note:</t>
  </si>
  <si>
    <t>Columbus Southern Power Riders</t>
  </si>
  <si>
    <t>Minimum Charge</t>
  </si>
  <si>
    <t>*</t>
  </si>
  <si>
    <t>* Not applicable to Federal accounts</t>
  </si>
  <si>
    <t>Residential Shopping Incentive Credit</t>
  </si>
  <si>
    <t>kWh</t>
  </si>
  <si>
    <t>/kWh</t>
  </si>
  <si>
    <t>kWh Usage:</t>
  </si>
  <si>
    <t>/kW</t>
  </si>
  <si>
    <t>kW</t>
  </si>
  <si>
    <t>kVARh</t>
  </si>
  <si>
    <t>kWh Tax  (first 2000 kWh)</t>
  </si>
  <si>
    <t>kWh Tax  (next 13,000 kWh)</t>
  </si>
  <si>
    <t>kWh Tax  (in excess of 15,000 kWh)</t>
  </si>
  <si>
    <t>Base Charges</t>
  </si>
  <si>
    <t>Metered kWh Usage:</t>
  </si>
  <si>
    <t>Metered Reactive Hours:</t>
  </si>
  <si>
    <t>Metered Voltage Adjustment:</t>
  </si>
  <si>
    <t>Metered</t>
  </si>
  <si>
    <t>Adjusted</t>
  </si>
  <si>
    <t>Effective Date:</t>
  </si>
  <si>
    <t>Base $</t>
  </si>
  <si>
    <t>Activated</t>
  </si>
  <si>
    <t>Metered KWH</t>
  </si>
  <si>
    <t>Universal Service Fund (first 833,000 kwh)</t>
  </si>
  <si>
    <t>Universal Service Fund (in excess of 833,000 kwh)</t>
  </si>
  <si>
    <t>Regulatory Assest Charge (Residential)</t>
  </si>
  <si>
    <t xml:space="preserve">kW </t>
  </si>
  <si>
    <t>Generation</t>
  </si>
  <si>
    <t>Transmission</t>
  </si>
  <si>
    <t>Distribution</t>
  </si>
  <si>
    <t>Rates</t>
  </si>
  <si>
    <t>Billing</t>
  </si>
  <si>
    <t>Riders</t>
  </si>
  <si>
    <t>Riders Total</t>
  </si>
  <si>
    <t>Base + Rider Total</t>
  </si>
  <si>
    <t>Energy Charge;   (First 1000 kWh)</t>
  </si>
  <si>
    <t xml:space="preserve">                            (Over 1000 kWh)</t>
  </si>
  <si>
    <t>Base Charge</t>
  </si>
  <si>
    <t>Bill Calculation - Summer (June-September)</t>
  </si>
  <si>
    <t>Metered On-Peak Demand:</t>
  </si>
  <si>
    <t>Metered Off-Peak Demand:</t>
  </si>
  <si>
    <t>Universal Service Fund (first 833,000 kWh)</t>
  </si>
  <si>
    <t>Universal Service Fund (in excess of 833,000 kWh)</t>
  </si>
  <si>
    <t>Economic Development Cost Recovery</t>
  </si>
  <si>
    <t xml:space="preserve">Enhanced Service Reliability </t>
  </si>
  <si>
    <t>Energy Efficiency &amp; Peak Demand Reduction Cost Recovery</t>
  </si>
  <si>
    <t>GS-1 Bundled Service</t>
  </si>
  <si>
    <t>Demand (kW)</t>
  </si>
  <si>
    <t xml:space="preserve">Average Energy Cost </t>
  </si>
  <si>
    <t>Cents/kWh</t>
  </si>
  <si>
    <t>Metered kWh (On-Peak):</t>
  </si>
  <si>
    <t>Metered kWh (Off-Peak):</t>
  </si>
  <si>
    <t>Ohio Power Billing Analysis</t>
  </si>
  <si>
    <t>Year</t>
  </si>
  <si>
    <t xml:space="preserve">/kWh </t>
  </si>
  <si>
    <t>Minimum Charge:</t>
  </si>
  <si>
    <t xml:space="preserve">Base + Rider Total </t>
  </si>
  <si>
    <t>Breakdown of Charges Based on Entered Information</t>
  </si>
  <si>
    <t>Energy Efficiency and Peak Demand Reduction Cost Recovery</t>
  </si>
  <si>
    <t>kWh Tax (first 2000 kWh)</t>
  </si>
  <si>
    <t>kWh Tax (next 13,000 kWh)</t>
  </si>
  <si>
    <t>kWh Tax (in excess of 15,000 kWh)</t>
  </si>
  <si>
    <t>Billing Month/Year:</t>
  </si>
  <si>
    <t>Month (1, 2, …, 12)</t>
  </si>
  <si>
    <t>January</t>
  </si>
  <si>
    <t>February</t>
  </si>
  <si>
    <t>March</t>
  </si>
  <si>
    <t>April</t>
  </si>
  <si>
    <t>May</t>
  </si>
  <si>
    <t>June</t>
  </si>
  <si>
    <t>July</t>
  </si>
  <si>
    <t>August</t>
  </si>
  <si>
    <t>September</t>
  </si>
  <si>
    <t>November</t>
  </si>
  <si>
    <t>October</t>
  </si>
  <si>
    <t>December</t>
  </si>
  <si>
    <t>Residential Distribution Credit Rider</t>
  </si>
  <si>
    <t>Month</t>
  </si>
  <si>
    <t>Residential Secondary Bundled Service</t>
  </si>
  <si>
    <t>Total Ohio Power Billing Charge:</t>
  </si>
  <si>
    <t>Dist Rate 1</t>
  </si>
  <si>
    <t>Dist Rate 2</t>
  </si>
  <si>
    <t>Ohio Power Company</t>
  </si>
  <si>
    <t xml:space="preserve">Average Energy Cost: </t>
  </si>
  <si>
    <t>Base (Dist)</t>
  </si>
  <si>
    <t>Columbus Southern Power Rate Zone</t>
  </si>
  <si>
    <t>Dist Rate 3</t>
  </si>
  <si>
    <t xml:space="preserve">Bill Calculation </t>
  </si>
  <si>
    <t>Apply Self Assessor Option</t>
  </si>
  <si>
    <t>kVAR</t>
  </si>
  <si>
    <t>Metered Reactive Demand</t>
  </si>
  <si>
    <t>Federal Government Account</t>
  </si>
  <si>
    <t>Peak kVAR:</t>
  </si>
  <si>
    <t>Highest Previous Demand:</t>
  </si>
  <si>
    <t>Avg. PF</t>
  </si>
  <si>
    <t>Energy Charge</t>
  </si>
  <si>
    <t xml:space="preserve">Rider </t>
  </si>
  <si>
    <t>0-833,000</t>
  </si>
  <si>
    <t>&gt;833,000</t>
  </si>
  <si>
    <t>Universal Service Fund Rider (kWh)</t>
  </si>
  <si>
    <t>KWH Tax Rider (kWh)</t>
  </si>
  <si>
    <t>0-2000</t>
  </si>
  <si>
    <t>&gt;115,000</t>
  </si>
  <si>
    <t>2001-15,000</t>
  </si>
  <si>
    <t>Residential Distribution Credit Rider (%)</t>
  </si>
  <si>
    <t>RS</t>
  </si>
  <si>
    <t>GS-1</t>
  </si>
  <si>
    <t>GS-TOD</t>
  </si>
  <si>
    <t>Sec</t>
  </si>
  <si>
    <t>Pri</t>
  </si>
  <si>
    <t>Sub/Tran</t>
  </si>
  <si>
    <t>Energy Efficiency and Peak Demand Reduction Cost Recovery Rider (kWh)</t>
  </si>
  <si>
    <t xml:space="preserve">GS-2 </t>
  </si>
  <si>
    <t xml:space="preserve">GS-3 </t>
  </si>
  <si>
    <t xml:space="preserve">GS-4 </t>
  </si>
  <si>
    <t>Economic Development Cost Recovery Rider (%)</t>
  </si>
  <si>
    <t>Enhanced Service Reliability Rider (%)</t>
  </si>
  <si>
    <t>Residential</t>
  </si>
  <si>
    <t>Non-Residential</t>
  </si>
  <si>
    <t>Distribution Investment Rider (%)</t>
  </si>
  <si>
    <t>Distribution Investment Rider</t>
  </si>
  <si>
    <t>Alternative Energy Rider</t>
  </si>
  <si>
    <t>Pilot Throughput Balance Adjustment Rider</t>
  </si>
  <si>
    <t>Pilot Throughput Balancing Adjustment Rider</t>
  </si>
  <si>
    <t xml:space="preserve">Generation Capacity Rider  </t>
  </si>
  <si>
    <t>Generation Capacity Rider</t>
  </si>
  <si>
    <t>GS-2 TOD (On-Peak)</t>
  </si>
  <si>
    <t>GS-2 TOD (Off-Peak)</t>
  </si>
  <si>
    <t>Generation Capacity Rider (On-Peak)</t>
  </si>
  <si>
    <t>Gen Cap 1</t>
  </si>
  <si>
    <t>Gen Cap 2</t>
  </si>
  <si>
    <t>Gen Cap 3</t>
  </si>
  <si>
    <t>RLM (1)</t>
  </si>
  <si>
    <t>RLM (2)</t>
  </si>
  <si>
    <t>RLM (3)</t>
  </si>
  <si>
    <t>Summer</t>
  </si>
  <si>
    <t>Winter</t>
  </si>
  <si>
    <t>Generation Capacity Rider (1)</t>
  </si>
  <si>
    <t>Generation Capacity Rider (2)</t>
  </si>
  <si>
    <t>Generation Capacity Rider (3)</t>
  </si>
  <si>
    <t xml:space="preserve">Dist Rate - Off </t>
  </si>
  <si>
    <t xml:space="preserve">Dist Rate - On </t>
  </si>
  <si>
    <t>RS-TOD (Off Peak)</t>
  </si>
  <si>
    <t>RS-TOD (On Peak)</t>
  </si>
  <si>
    <t>Generation Capacity Rider (Off Peak)</t>
  </si>
  <si>
    <t>Generation Capacity Rider (On Peak)</t>
  </si>
  <si>
    <t>Residential Time-of-Day Bundled Service</t>
  </si>
  <si>
    <t>Rider Rate 1</t>
  </si>
  <si>
    <t>Rider Rate 2</t>
  </si>
  <si>
    <t xml:space="preserve">Energy Charge </t>
  </si>
  <si>
    <t xml:space="preserve">Generation Energy Rider  </t>
  </si>
  <si>
    <t>GS-1, GS-TOD</t>
  </si>
  <si>
    <t>Demand Metered Secondary</t>
  </si>
  <si>
    <t>Demand Metered Primary</t>
  </si>
  <si>
    <t>Demand Metered Trans/Subtrans</t>
  </si>
  <si>
    <t>Auction Cost Reconciliation Rider (kWh)</t>
  </si>
  <si>
    <t>Basic Transmission Cost Rider (kWh)</t>
  </si>
  <si>
    <t>Basic Transmission Cost Rider (kW)</t>
  </si>
  <si>
    <t>Generation Energy Rider</t>
  </si>
  <si>
    <t>Gen En</t>
  </si>
  <si>
    <t xml:space="preserve">RR, RR1 </t>
  </si>
  <si>
    <t>Basic Transmission Cost Rider</t>
  </si>
  <si>
    <t>Price to Compare (excludes Distribution Charges and some Transmission Charges):</t>
  </si>
  <si>
    <t>Gen En 1</t>
  </si>
  <si>
    <t xml:space="preserve">Generation Energy Rider </t>
  </si>
  <si>
    <t>Auction Cost Reconciliation Rider</t>
  </si>
  <si>
    <t>This master spreadsheet can be used to calculate billings issued on or after 6/1/2015 under Bundled and Open Access tariffs.  The results may not match invoiced amounts exactly.  The "Customer Info" tab is used to enter data for all tariff tabs.   Results can be viewed by scrolling to the appropriate tariff tab.</t>
  </si>
  <si>
    <t>Energy Efficiency and Peak Demand Reduction Cost Recovery Rider (Fixed)</t>
  </si>
  <si>
    <t>Energy Efficiency and Peak Demand Reduction Cost Recovery Rider (kW)</t>
  </si>
  <si>
    <t>GS-2 (0-833,000 kWh)</t>
  </si>
  <si>
    <t>GS-2 (&gt;833,000 kWh)</t>
  </si>
  <si>
    <t>GS-TOD (0-833,000 kWh)</t>
  </si>
  <si>
    <t>GS-TOD (&gt;833,000 kWh)</t>
  </si>
  <si>
    <t>GS-3 (0-833,000 kWh)</t>
  </si>
  <si>
    <t>GS-3 (&gt;833,000 kWh)</t>
  </si>
  <si>
    <t>GS-4 (0-833,000 kWh)</t>
  </si>
  <si>
    <t>GS-4 (&gt;833,000 kWh)</t>
  </si>
  <si>
    <t>Alternative Energy Rider (kWh)</t>
  </si>
  <si>
    <t>gridSMART Phase 2 Rider (fixed)</t>
  </si>
  <si>
    <t>gridSMART Phase 2 Rider</t>
  </si>
  <si>
    <t>IRP Rate</t>
  </si>
  <si>
    <t>Tax Savings Credit Rider</t>
  </si>
  <si>
    <t>Smart City Rider</t>
  </si>
  <si>
    <t>Legacy Generation Resource Rider</t>
  </si>
  <si>
    <t>Residential ($/month)</t>
  </si>
  <si>
    <t>Non-Residential ($/kWh up to 833,000 kWh)</t>
  </si>
  <si>
    <t>Part A</t>
  </si>
  <si>
    <t>Part B</t>
  </si>
  <si>
    <t>Effective</t>
  </si>
  <si>
    <t>DSM Energy Efficiency Opt Out</t>
  </si>
  <si>
    <t>Storm Damage Recovery Rider</t>
  </si>
  <si>
    <t>Storm Damage Recover Rider</t>
  </si>
  <si>
    <t>Generation Capacity Rider (Off-Peak)</t>
  </si>
  <si>
    <t>Available for residential electric service through one meter to individual residential customers. (Schedule Codes: 036)</t>
  </si>
  <si>
    <t>On-Peak kWh Usage</t>
  </si>
  <si>
    <t>Off-Peak kWh Usage</t>
  </si>
  <si>
    <t>RS-TOU On Peak</t>
  </si>
  <si>
    <t>RS-TOU Off Peak</t>
  </si>
  <si>
    <t>On-Peak kWh Usage:</t>
  </si>
  <si>
    <t>Off-Peak kWh Usage:</t>
  </si>
  <si>
    <t>GS-TOU Off-Peak</t>
  </si>
  <si>
    <t>GS-TOU On-Peak</t>
  </si>
  <si>
    <t>Available for general service to customers with maximum demands less than 10 KW.  (Schedule Codes 284)</t>
  </si>
  <si>
    <t>Solar Generation Fund Rider</t>
  </si>
  <si>
    <t>&lt;&lt;Cap Limit</t>
  </si>
  <si>
    <r>
      <t xml:space="preserve">Billing Month/Year </t>
    </r>
    <r>
      <rPr>
        <b/>
        <sz val="10"/>
        <rFont val="Arial"/>
        <family val="2"/>
      </rPr>
      <t>(</t>
    </r>
    <r>
      <rPr>
        <b/>
        <sz val="10"/>
        <color indexed="10"/>
        <rFont val="Arial"/>
        <family val="2"/>
      </rPr>
      <t>REQUIRED)</t>
    </r>
    <r>
      <rPr>
        <sz val="10"/>
        <rFont val="Arial"/>
        <family val="2"/>
      </rPr>
      <t>:</t>
    </r>
  </si>
  <si>
    <t>Solar Generation Fund Rider (first 833,000 kWh)</t>
  </si>
  <si>
    <t>Solar Generation Fund Rider (in excess of 833,000 kWh)</t>
  </si>
  <si>
    <t>Available for residential electric service through one meter to individual residential customers. (Schedule Codes: 015)</t>
  </si>
  <si>
    <t>Available to individual residential customers.   Availability is limited to the first 500 customers applying for service under this schedule. (Schedule Code 019, 030, 032)</t>
  </si>
  <si>
    <t>Bad Debt Rider</t>
  </si>
  <si>
    <t>Bad Debt Rider (%)</t>
  </si>
  <si>
    <t>Retail Reconciliation Rider</t>
  </si>
  <si>
    <t>Retail Reconciliatoin Rider (kWh)</t>
  </si>
  <si>
    <t>Power Forward Rider</t>
  </si>
  <si>
    <t>SSO Credit Rider</t>
  </si>
  <si>
    <t>Pilot Demand Response Rider</t>
  </si>
  <si>
    <t>Placeholder</t>
  </si>
  <si>
    <t>Residential Service - Demand Metered</t>
  </si>
  <si>
    <t>Energy Charge:     kW</t>
  </si>
  <si>
    <t xml:space="preserve">Available for optional residential electric service through one meter to individual residential customers.  Requires the installation of demand metering facilities. (Schedule Codes: 010)  </t>
  </si>
  <si>
    <r>
      <t xml:space="preserve">RS </t>
    </r>
    <r>
      <rPr>
        <b/>
        <sz val="10"/>
        <rFont val="Arial"/>
        <family val="2"/>
      </rPr>
      <t>(CSP Rate Zone)</t>
    </r>
  </si>
  <si>
    <r>
      <t xml:space="preserve">General Service-Non Demand Metered </t>
    </r>
    <r>
      <rPr>
        <b/>
        <sz val="10"/>
        <rFont val="Arial"/>
        <family val="2"/>
      </rPr>
      <t>(CSP Rate Zone)</t>
    </r>
  </si>
  <si>
    <t>Account</t>
  </si>
  <si>
    <t>Available for general service to customers with maximum demands less than 10 KW.  (Schedule Codes 211, 212)</t>
  </si>
  <si>
    <t>Available for general service customers with maximum demands less than 500 kW.  Availability is limited to secondary service and the first 1,000 customers applying for service under this schedule. (Schedule Codes: 220, 223, 225, 228, 229)</t>
  </si>
  <si>
    <t>Retail Reconciliation Rider (first 833,000 kWh)</t>
  </si>
  <si>
    <t>Retail Reconciliation Rider (in excess of 833,000 kWh)</t>
  </si>
  <si>
    <t>GS-2-Time-of-Day Secondary Bundled Service</t>
  </si>
  <si>
    <t>Available for general service to customers with maximum demands of 10 KW or greater. (Schedule Codes 208, 215, 231, 265)</t>
  </si>
  <si>
    <t>Excess kVAR:</t>
  </si>
  <si>
    <t>KVAR</t>
  </si>
  <si>
    <t>GS Secondary Bundled Service</t>
  </si>
  <si>
    <t>kVar</t>
  </si>
  <si>
    <t>KVA</t>
  </si>
  <si>
    <t>Excess Reactive Demand Charge</t>
  </si>
  <si>
    <t>(Schedule Codes 217, 218, 232, 266, 322)</t>
  </si>
  <si>
    <t>GS Primary Bundled Service</t>
  </si>
  <si>
    <t>GS Transmission Bundled Service</t>
  </si>
  <si>
    <t>(Schedule Codes 238, 239, 258, 270, 275)</t>
  </si>
  <si>
    <t>Available for residential electric service through one meter to individual residential customers. (Schedule Codes: 820)</t>
  </si>
  <si>
    <t>Residential Secondary Open Access Distribution Service</t>
  </si>
  <si>
    <t>Residential Service - Demand Metered - OAD</t>
  </si>
  <si>
    <t>Available for general service to customers with maximum demands less than 10 KW.  (Schedule Codes 830)</t>
  </si>
  <si>
    <t>GS Secondary Open Access Distribution Service</t>
  </si>
  <si>
    <t>GS-1 Open Access Distribution Service</t>
  </si>
  <si>
    <t>GS Transmission Open Access Distribution Service</t>
  </si>
  <si>
    <t>Columbus Southern Rate Zone</t>
  </si>
  <si>
    <t>Received kWh</t>
  </si>
  <si>
    <t>Contract Capacity:</t>
  </si>
  <si>
    <t>Contract Minimum Demand:</t>
  </si>
  <si>
    <t>Available for general service to customers with maximum demands of 10 KW or greater. (Schedule Codes 315)</t>
  </si>
  <si>
    <t>GS Service - Fair</t>
  </si>
  <si>
    <t>County Fair SEC</t>
  </si>
  <si>
    <t>County Fair PRI</t>
  </si>
  <si>
    <t>Pilot Plug-In Electric Vehicle Service</t>
  </si>
  <si>
    <t>On-Peak Demand Charge</t>
  </si>
  <si>
    <t>Metered kW Usage:</t>
  </si>
  <si>
    <t>Reactive Hours:</t>
  </si>
  <si>
    <t>Peak kVA</t>
  </si>
  <si>
    <t>Allowable kVA:</t>
  </si>
  <si>
    <t>KVARh</t>
  </si>
  <si>
    <t>kVA</t>
  </si>
  <si>
    <t xml:space="preserve">Available for optional residential electric service through one meter to individual residential customers.  Requires the installation of demand metering facilities. (Schedule Codes: 810)  </t>
  </si>
  <si>
    <t>Available for general service to customers with maximum demands of 10 KW or greater. (Schedule Codes 770, 840, 842, 845)</t>
  </si>
  <si>
    <t>(Schedule Codes 774, 841, 843, 846, 861)</t>
  </si>
  <si>
    <t>(Schedule Codes 779, 790, 826, 827, 858, 853)</t>
  </si>
  <si>
    <t>Energy Charge:</t>
  </si>
  <si>
    <t xml:space="preserve">Energy Charge:   </t>
  </si>
  <si>
    <t>GS-1, GS-TOD, GS-TOU</t>
  </si>
  <si>
    <r>
      <t xml:space="preserve">Solar Generation Rider - </t>
    </r>
    <r>
      <rPr>
        <sz val="9"/>
        <rFont val="Arial"/>
        <family val="2"/>
      </rPr>
      <t>This rider is to fund disbursements to qualifying solar resources as required by the General Assembly.</t>
    </r>
  </si>
  <si>
    <r>
      <t xml:space="preserve">Smart City Rider - </t>
    </r>
    <r>
      <rPr>
        <sz val="9"/>
        <rFont val="Arial"/>
        <family val="2"/>
      </rPr>
      <t>This rider allows the Company to recover costs associated with Smart City technologies.</t>
    </r>
  </si>
  <si>
    <r>
      <t xml:space="preserve">Tax Savings Credit Rider – </t>
    </r>
    <r>
      <rPr>
        <sz val="11"/>
        <rFont val="Calibri"/>
        <family val="2"/>
      </rPr>
      <t>This Rider</t>
    </r>
    <r>
      <rPr>
        <sz val="10"/>
        <rFont val="Arial"/>
        <family val="2"/>
      </rPr>
      <t xml:space="preserve"> is a reduction to rates that reflects the pass back of the remaining tax savings recognized through the Tax Cuts and Jobs Act of 2017. </t>
    </r>
  </si>
  <si>
    <r>
      <t>Universal Service Fund</t>
    </r>
    <r>
      <rPr>
        <sz val="9"/>
        <rFont val="Arial"/>
        <family val="2"/>
      </rPr>
      <t xml:space="preserve"> </t>
    </r>
    <r>
      <rPr>
        <b/>
        <sz val="9"/>
        <rFont val="Arial"/>
        <family val="2"/>
      </rPr>
      <t>Rider</t>
    </r>
    <r>
      <rPr>
        <sz val="9"/>
        <rFont val="Arial"/>
        <family val="2"/>
      </rPr>
      <t>- This Rider replaced the Percentage of Income Payment Plan (PIP) rider on September 1, 2000. PIP helped low-income residential customers avoid disconnection during the winter. The program now is administered by the Ohio Development Services Agency, which sets the rate. The Universal Service Fund Rider is included within the distribution charge.</t>
    </r>
  </si>
  <si>
    <r>
      <rPr>
        <b/>
        <sz val="9"/>
        <rFont val="Arial"/>
        <family val="2"/>
      </rPr>
      <t>Storm Damage Recovery Rider</t>
    </r>
    <r>
      <rPr>
        <sz val="9"/>
        <rFont val="Arial"/>
        <family val="2"/>
      </rPr>
      <t xml:space="preserve"> - This Rider allows the Company to recover a portion of the incremental storm restoration costs from major storms that are above the baseline.</t>
    </r>
  </si>
  <si>
    <r>
      <t xml:space="preserve">Legacy Generation Resource Rider – </t>
    </r>
    <r>
      <rPr>
        <sz val="9"/>
        <rFont val="Arial"/>
        <family val="2"/>
      </rPr>
      <t xml:space="preserve">This rider collect or pass back the difference between total cost and revenues associated with legacy generation resources of AEP Ohio.  The Legacy Generation Resource Rider replaces the current Purchase Power Agreement Rider.  </t>
    </r>
  </si>
  <si>
    <r>
      <t xml:space="preserve">Pilot Throughput Balancing Adjustment Rider - </t>
    </r>
    <r>
      <rPr>
        <sz val="9"/>
        <rFont val="Arial"/>
        <family val="2"/>
      </rPr>
      <t>This Rider ensures that the actual base distribution revenue collected from residential and small commercial customers equals the amount authorized by the Public Utilities Commission of Ohio and does not vary as a result of usage as distribution costs do not vary based upon usage.</t>
    </r>
  </si>
  <si>
    <r>
      <t>KWH Tax Rider</t>
    </r>
    <r>
      <rPr>
        <sz val="9"/>
        <rFont val="Arial"/>
        <family val="2"/>
      </rPr>
      <t>- This Rider became effective May 1, 2001.  Customers consuming more than 45,000,000 KWH annually may elect to self assess this tax and pay directly to the State of Ohio.  This Rider does not apply to federal government accounts.</t>
    </r>
  </si>
  <si>
    <r>
      <rPr>
        <b/>
        <sz val="9"/>
        <rFont val="Arial"/>
        <family val="2"/>
      </rPr>
      <t>gridSMART Rider –</t>
    </r>
    <r>
      <rPr>
        <sz val="9"/>
        <rFont val="Arial"/>
        <family val="2"/>
      </rPr>
      <t xml:space="preserve"> This rider allows the Company to recover costs associated with AEP Ohio’s Smart Grid Phase 2 and Phase 3 projects. These projects include deployment of Advanced Meter Infrastructure (AMI), Distribution Automation Circuit Reconfiguration (DACR) and Volt VAR Optimization (VVO).</t>
    </r>
  </si>
  <si>
    <r>
      <t xml:space="preserve">Generation Energy Rider – </t>
    </r>
    <r>
      <rPr>
        <sz val="9"/>
        <rFont val="Arial"/>
        <family val="2"/>
      </rPr>
      <t>This Rider collects the difference between the competitive bid auction price and the Retail Transmission Organization's capacity revenue requirement payable to the auction winners.</t>
    </r>
  </si>
  <si>
    <r>
      <t xml:space="preserve">Generation Capacity Rider – </t>
    </r>
    <r>
      <rPr>
        <sz val="9"/>
        <rFont val="Arial"/>
        <family val="2"/>
      </rPr>
      <t>This Rider allows the Company to collect the Generation Capacity Revenue Requirement based on the Retail Transmission Organization's Reliability Pricing Model's auction Clearing Price payable to the auction winners.</t>
    </r>
  </si>
  <si>
    <r>
      <t xml:space="preserve">Enhanced Service Reliability Rider - </t>
    </r>
    <r>
      <rPr>
        <sz val="9"/>
        <rFont val="Arial"/>
        <family val="2"/>
      </rPr>
      <t>This Rider collects the incremental costs of the Company’s enhanced vegetation management initiative.  The Company’s plan is intended to reduce the impact of weather events through additional tree trimming, resulting in better reliability for customers.  This Rider is subject to Commission review and reconciliation on an annual basis.</t>
    </r>
  </si>
  <si>
    <r>
      <t xml:space="preserve">Energy Efficiency and Peak Demand Reduction Cost Recovery Rider - </t>
    </r>
    <r>
      <rPr>
        <sz val="9"/>
        <rFont val="Arial"/>
        <family val="2"/>
      </rPr>
      <t xml:space="preserve">This Rider allows the Company to recover the costs of various programs designed to improve energy efficiency and reduce the overall peak demand for energy.  This Rider will be trued-up annually to reconcile cost recovery and actual program costs.  </t>
    </r>
  </si>
  <si>
    <r>
      <t>Economic Development Cost Recovery Rider</t>
    </r>
    <r>
      <rPr>
        <sz val="9"/>
        <rFont val="Arial"/>
        <family val="2"/>
      </rPr>
      <t xml:space="preserve"> - This Rider allows the Company to recover the costs, incentives and foregone revenues associated with Commission-approved special arrangements, including special arrangements for economic development and job retention.  This Rider will be periodically adjusted to recover amounts authorized by the Commission.  </t>
    </r>
  </si>
  <si>
    <r>
      <t xml:space="preserve">Distribution Investment Rider </t>
    </r>
    <r>
      <rPr>
        <sz val="9"/>
        <rFont val="Arial"/>
        <family val="2"/>
      </rPr>
      <t>- This Rider allows the Company to move to a proactive replacement strategy of its distribution infrastructure.</t>
    </r>
  </si>
  <si>
    <r>
      <rPr>
        <b/>
        <sz val="9"/>
        <rFont val="Arial"/>
        <family val="2"/>
      </rPr>
      <t>Basic Transmission Cost Rider</t>
    </r>
    <r>
      <rPr>
        <sz val="9"/>
        <rFont val="Arial"/>
        <family val="2"/>
      </rPr>
      <t xml:space="preserve"> – This Rider allows the Company to recover non-market based transmission charges from both shopping and non-shopping customers.  </t>
    </r>
  </si>
  <si>
    <r>
      <rPr>
        <b/>
        <sz val="9"/>
        <rFont val="Arial"/>
        <family val="2"/>
      </rPr>
      <t>Auction Cost Reconciliation Rider</t>
    </r>
    <r>
      <rPr>
        <sz val="9"/>
        <rFont val="Arial"/>
        <family val="2"/>
      </rPr>
      <t xml:space="preserve"> – This Rider collects any difference between auction costs billed to customers versus what was paid to auction winners for the procurement of power as well as the costs associated with the competitive bid process.</t>
    </r>
  </si>
  <si>
    <r>
      <t xml:space="preserve">Alternative Energy Rider </t>
    </r>
    <r>
      <rPr>
        <sz val="9"/>
        <rFont val="Arial"/>
        <family val="2"/>
      </rPr>
      <t xml:space="preserve">- This Rider allows the Company to recover costs related to Renewable Energy Credits.  This Rider will be reconciled quarterly to actual costs incurred and will be subject to an annual prudence and accounting review by the Commission.
</t>
    </r>
  </si>
  <si>
    <t>GS Primary Open Access Distribution Service</t>
  </si>
  <si>
    <t>Revised 4/1/2024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</si>
</sst>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quot;$&quot;* #,##0.000000_);_(&quot;$&quot;* \(#,##0.000000\);_(&quot;$&quot;* &quot;-&quot;??????_);_(@_)"/>
    <numFmt numFmtId="165" formatCode="0.00000%"/>
    <numFmt numFmtId="166" formatCode="_(&quot;$&quot;* #,##0.0000000_);_(&quot;$&quot;* \(#,##0.0000000\);_(&quot;$&quot;* &quot;-&quot;???????_);_(@_)"/>
    <numFmt numFmtId="167" formatCode="_(* #,##0.0_);_(* \(#,##0.0\);_(* &quot;-&quot;??_);_(@_)"/>
    <numFmt numFmtId="168" formatCode="mm/dd/yy"/>
    <numFmt numFmtId="169" formatCode="&quot;$&quot;#,##0.0000000"/>
    <numFmt numFmtId="170" formatCode="0.0%"/>
    <numFmt numFmtId="171" formatCode="0.0000%"/>
    <numFmt numFmtId="172" formatCode="_(&quot;$&quot;* #,##0.000_);_(&quot;$&quot;* \(#,##0.000\);_(&quot;$&quot;* &quot;-&quot;??_);_(@_)"/>
    <numFmt numFmtId="173" formatCode="_(&quot;$&quot;* #,##0.00000_);_(&quot;$&quot;* \(#,##0.00000\);_(&quot;$&quot;* &quot;-&quot;??_);_(@_)"/>
    <numFmt numFmtId="174" formatCode="_(&quot;$&quot;* #,##0.000000_);_(&quot;$&quot;* \(#,##0.000000\);_(&quot;$&quot;* &quot;-&quot;??_);_(@_)"/>
    <numFmt numFmtId="175" formatCode="_(&quot;$&quot;* #,##0.0000000_);_(&quot;$&quot;* \(#,##0.0000000\);_(&quot;$&quot;* &quot;-&quot;??_);_(@_)"/>
    <numFmt numFmtId="176" formatCode="#,##0.0"/>
    <numFmt numFmtId="177" formatCode="_(&quot;$&quot;* #,##0.00000_);_(&quot;$&quot;* \(#,##0.00000\);_(&quot;$&quot;* &quot;-&quot;?????_);_(@_)"/>
    <numFmt numFmtId="178" formatCode="_(&quot;$&quot;* #,##0.00000000_);_(&quot;$&quot;* \(#,##0.00000000\);_(&quot;$&quot;* &quot;-&quot;???????_);_(@_)"/>
    <numFmt numFmtId="179" formatCode="_(* #,##0.0_);_(* \(#,##0.0\);_(* &quot;-&quot;?_);_(@_)"/>
    <numFmt numFmtId="180" formatCode="_(&quot;$&quot;* #,##0.000_);_(&quot;$&quot;* \(#,##0.000\);_(&quot;$&quot;* &quot;-&quot;???_);_(@_)"/>
    <numFmt numFmtId="181" formatCode="_(&quot;$&quot;* #,##0.0000_);_(&quot;$&quot;* \(#,##0.0000\);_(&quot;$&quot;* &quot;-&quot;????_);_(@_)"/>
    <numFmt numFmtId="182" formatCode="_(* #,##0.000_);_(* \(#,##0.000\);_(* &quot;-&quot;???_);_(@_)"/>
    <numFmt numFmtId="183" formatCode="0.0000000"/>
    <numFmt numFmtId="184" formatCode="0.00000"/>
    <numFmt numFmtId="185" formatCode="#,##0.000"/>
    <numFmt numFmtId="186" formatCode="_(&quot;$&quot;* #,##0.00_);_(&quot;$&quot;* \(#,##0.00\);_(&quot;$&quot;* &quot;-&quot;???????_);_(@_)"/>
    <numFmt numFmtId="187" formatCode="_(&quot;$&quot;* #,##0.00000000_);_(&quot;$&quot;* \(#,##0.00000000\);_(&quot;$&quot;* &quot;-&quot;??_);_(@_)"/>
    <numFmt numFmtId="188" formatCode="m/d/yyyy;@"/>
  </numFmts>
  <fonts count="53" x14ac:knownFonts="1">
    <font>
      <sz val="10"/>
      <name val="Arial"/>
    </font>
    <font>
      <sz val="10"/>
      <name val="Arial"/>
      <family val="2"/>
    </font>
    <font>
      <sz val="10"/>
      <name val="Arial"/>
      <family val="2"/>
    </font>
    <font>
      <b/>
      <sz val="10"/>
      <name val="Arial"/>
      <family val="2"/>
    </font>
    <font>
      <sz val="8"/>
      <color indexed="81"/>
      <name val="Tahoma"/>
      <family val="2"/>
    </font>
    <font>
      <b/>
      <sz val="8"/>
      <color indexed="81"/>
      <name val="Tahoma"/>
      <family val="2"/>
    </font>
    <font>
      <sz val="10"/>
      <color indexed="10"/>
      <name val="Arial"/>
      <family val="2"/>
    </font>
    <font>
      <b/>
      <sz val="10"/>
      <color indexed="48"/>
      <name val="Arial"/>
      <family val="2"/>
    </font>
    <font>
      <sz val="10"/>
      <color indexed="12"/>
      <name val="Arial"/>
      <family val="2"/>
    </font>
    <font>
      <b/>
      <sz val="10"/>
      <color indexed="12"/>
      <name val="Arial"/>
      <family val="2"/>
    </font>
    <font>
      <b/>
      <sz val="16"/>
      <name val="Arial"/>
      <family val="2"/>
    </font>
    <font>
      <b/>
      <sz val="14"/>
      <color indexed="8"/>
      <name val="Arial"/>
      <family val="2"/>
    </font>
    <font>
      <b/>
      <sz val="10"/>
      <color indexed="8"/>
      <name val="Arial"/>
      <family val="2"/>
    </font>
    <font>
      <sz val="12"/>
      <color indexed="12"/>
      <name val="Arial"/>
      <family val="2"/>
    </font>
    <font>
      <b/>
      <sz val="10"/>
      <color indexed="10"/>
      <name val="Arial"/>
      <family val="2"/>
    </font>
    <font>
      <sz val="10"/>
      <color indexed="8"/>
      <name val="Arial"/>
      <family val="2"/>
    </font>
    <font>
      <sz val="9"/>
      <name val="Arial"/>
      <family val="2"/>
    </font>
    <font>
      <b/>
      <sz val="9"/>
      <name val="Arial"/>
      <family val="2"/>
    </font>
    <font>
      <sz val="12"/>
      <color indexed="8"/>
      <name val="Arial"/>
      <family val="2"/>
    </font>
    <font>
      <sz val="10"/>
      <color indexed="9"/>
      <name val="Arial"/>
      <family val="2"/>
    </font>
    <font>
      <sz val="10"/>
      <color indexed="43"/>
      <name val="Arial"/>
      <family val="2"/>
    </font>
    <font>
      <sz val="8"/>
      <name val="Arial"/>
      <family val="2"/>
    </font>
    <font>
      <b/>
      <i/>
      <sz val="10"/>
      <name val="Arial"/>
      <family val="2"/>
    </font>
    <font>
      <u/>
      <sz val="10"/>
      <color indexed="12"/>
      <name val="Arial"/>
      <family val="2"/>
    </font>
    <font>
      <sz val="10"/>
      <color indexed="12"/>
      <name val="Arial"/>
      <family val="2"/>
    </font>
    <font>
      <sz val="9"/>
      <color indexed="12"/>
      <name val="Arial"/>
      <family val="2"/>
    </font>
    <font>
      <b/>
      <sz val="12"/>
      <name val="Arial"/>
      <family val="2"/>
    </font>
    <font>
      <sz val="12"/>
      <name val="Arial"/>
      <family val="2"/>
    </font>
    <font>
      <sz val="8"/>
      <name val="Arial"/>
      <family val="2"/>
    </font>
    <font>
      <b/>
      <sz val="12"/>
      <color indexed="17"/>
      <name val="Arial"/>
      <family val="2"/>
    </font>
    <font>
      <u/>
      <sz val="10"/>
      <name val="Arial"/>
      <family val="2"/>
    </font>
    <font>
      <sz val="10"/>
      <color indexed="17"/>
      <name val="Arial"/>
      <family val="2"/>
    </font>
    <font>
      <b/>
      <sz val="9"/>
      <color indexed="10"/>
      <name val="Arial"/>
      <family val="2"/>
    </font>
    <font>
      <b/>
      <sz val="10"/>
      <color indexed="17"/>
      <name val="Arial"/>
      <family val="2"/>
    </font>
    <font>
      <sz val="8"/>
      <color indexed="9"/>
      <name val="Arial"/>
      <family val="2"/>
    </font>
    <font>
      <b/>
      <sz val="20"/>
      <color indexed="10"/>
      <name val="Arial"/>
      <family val="2"/>
    </font>
    <font>
      <b/>
      <sz val="8"/>
      <color indexed="10"/>
      <name val="Tahoma"/>
      <family val="2"/>
    </font>
    <font>
      <b/>
      <sz val="16"/>
      <color indexed="10"/>
      <name val="Arial"/>
      <family val="2"/>
    </font>
    <font>
      <b/>
      <sz val="8"/>
      <name val="Arial"/>
      <family val="2"/>
    </font>
    <font>
      <sz val="8"/>
      <color indexed="10"/>
      <name val="Arial"/>
      <family val="2"/>
    </font>
    <font>
      <sz val="9"/>
      <color indexed="81"/>
      <name val="Tahoma"/>
      <family val="2"/>
    </font>
    <font>
      <b/>
      <sz val="9"/>
      <color indexed="81"/>
      <name val="Tahoma"/>
      <family val="2"/>
    </font>
    <font>
      <sz val="10"/>
      <name val="Arial"/>
      <family val="2"/>
    </font>
    <font>
      <b/>
      <u/>
      <sz val="10"/>
      <color indexed="12"/>
      <name val="Arial"/>
      <family val="2"/>
    </font>
    <font>
      <b/>
      <u/>
      <sz val="8"/>
      <color indexed="81"/>
      <name val="Tahoma"/>
      <family val="2"/>
    </font>
    <font>
      <b/>
      <sz val="10"/>
      <color rgb="FF0000FF"/>
      <name val="Arial"/>
      <family val="2"/>
    </font>
    <font>
      <sz val="10"/>
      <color rgb="FFFFFF00"/>
      <name val="Arial"/>
      <family val="2"/>
    </font>
    <font>
      <sz val="10"/>
      <color rgb="FFFF0000"/>
      <name val="Arial"/>
      <family val="2"/>
    </font>
    <font>
      <sz val="10"/>
      <color theme="1"/>
      <name val="Arial"/>
      <family val="2"/>
    </font>
    <font>
      <sz val="8"/>
      <color rgb="FF000000"/>
      <name val="Tahoma"/>
      <family val="2"/>
    </font>
    <font>
      <sz val="8"/>
      <color rgb="FF000000"/>
      <name val="Segoe UI"/>
      <family val="2"/>
    </font>
    <font>
      <sz val="10"/>
      <color rgb="FF000000"/>
      <name val="Arial"/>
      <family val="2"/>
    </font>
    <font>
      <sz val="11"/>
      <name val="Calibri"/>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3"/>
        <bgColor indexed="43"/>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s>
  <cellStyleXfs count="32">
    <xf numFmtId="0" fontId="0" fillId="0" borderId="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480">
    <xf numFmtId="0" fontId="0" fillId="0" borderId="0" xfId="0"/>
    <xf numFmtId="3" fontId="0" fillId="0" borderId="0" xfId="0" applyNumberFormat="1"/>
    <xf numFmtId="8" fontId="0" fillId="0" borderId="0" xfId="0" applyNumberFormat="1"/>
    <xf numFmtId="0" fontId="2" fillId="0" borderId="0" xfId="0" applyFont="1"/>
    <xf numFmtId="0" fontId="0" fillId="0" borderId="0" xfId="0" applyAlignment="1">
      <alignment horizontal="center"/>
    </xf>
    <xf numFmtId="0" fontId="0" fillId="0" borderId="1" xfId="0" applyBorder="1" applyAlignment="1">
      <alignment horizontal="center"/>
    </xf>
    <xf numFmtId="166" fontId="0" fillId="0" borderId="1" xfId="10" applyNumberFormat="1" applyFont="1" applyBorder="1"/>
    <xf numFmtId="165" fontId="0" fillId="0" borderId="2" xfId="21" applyNumberFormat="1" applyFont="1" applyBorder="1"/>
    <xf numFmtId="0" fontId="0" fillId="0" borderId="2" xfId="0" applyBorder="1" applyAlignment="1">
      <alignment horizontal="center"/>
    </xf>
    <xf numFmtId="0" fontId="0" fillId="0" borderId="3" xfId="0" applyBorder="1"/>
    <xf numFmtId="0" fontId="0" fillId="0" borderId="4" xfId="0" applyBorder="1"/>
    <xf numFmtId="0" fontId="0" fillId="2" borderId="0" xfId="0" applyFill="1" applyAlignment="1">
      <alignment horizontal="center"/>
    </xf>
    <xf numFmtId="0" fontId="0" fillId="2" borderId="0" xfId="0" applyFill="1"/>
    <xf numFmtId="0" fontId="6" fillId="2" borderId="0" xfId="0" applyFont="1" applyFill="1"/>
    <xf numFmtId="3" fontId="0" fillId="2" borderId="0" xfId="0" applyNumberFormat="1" applyFill="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0" xfId="0" applyBorder="1"/>
    <xf numFmtId="166" fontId="0" fillId="0" borderId="0" xfId="10" applyNumberFormat="1" applyFont="1" applyBorder="1"/>
    <xf numFmtId="0" fontId="0" fillId="0" borderId="0" xfId="0" applyBorder="1" applyAlignment="1">
      <alignment horizontal="center"/>
    </xf>
    <xf numFmtId="0" fontId="6" fillId="0" borderId="0" xfId="0" applyFont="1" applyBorder="1" applyAlignment="1">
      <alignment horizontal="center"/>
    </xf>
    <xf numFmtId="0" fontId="0" fillId="0" borderId="8" xfId="0" applyBorder="1"/>
    <xf numFmtId="0" fontId="12" fillId="0" borderId="0" xfId="0" applyFont="1"/>
    <xf numFmtId="0" fontId="13" fillId="0" borderId="0" xfId="0" applyFont="1"/>
    <xf numFmtId="0" fontId="9" fillId="0" borderId="0" xfId="0" applyFont="1"/>
    <xf numFmtId="14" fontId="0" fillId="0" borderId="0" xfId="0" applyNumberFormat="1"/>
    <xf numFmtId="0" fontId="12" fillId="0" borderId="0" xfId="0" applyFont="1" applyAlignment="1">
      <alignment horizontal="left"/>
    </xf>
    <xf numFmtId="0" fontId="14" fillId="0" borderId="8" xfId="0" applyFont="1" applyBorder="1"/>
    <xf numFmtId="0" fontId="15" fillId="0" borderId="0" xfId="0" applyFont="1" applyBorder="1"/>
    <xf numFmtId="0" fontId="6" fillId="0" borderId="0" xfId="0" applyFont="1" applyBorder="1"/>
    <xf numFmtId="0" fontId="15" fillId="0" borderId="0" xfId="0" applyFont="1"/>
    <xf numFmtId="3" fontId="8" fillId="0" borderId="0" xfId="0" applyNumberFormat="1" applyFont="1" applyFill="1"/>
    <xf numFmtId="0" fontId="6" fillId="0" borderId="0" xfId="0" applyFont="1"/>
    <xf numFmtId="44" fontId="0" fillId="0" borderId="0" xfId="10" applyFont="1"/>
    <xf numFmtId="3" fontId="16" fillId="0" borderId="0" xfId="0" applyNumberFormat="1" applyFont="1"/>
    <xf numFmtId="0" fontId="16" fillId="0" borderId="0" xfId="0" applyFont="1"/>
    <xf numFmtId="0" fontId="3" fillId="0" borderId="0" xfId="0" applyFont="1"/>
    <xf numFmtId="3" fontId="3" fillId="0" borderId="0" xfId="0" applyNumberFormat="1" applyFont="1"/>
    <xf numFmtId="0" fontId="17" fillId="0" borderId="0" xfId="0" applyFont="1"/>
    <xf numFmtId="44" fontId="3" fillId="0" borderId="0" xfId="10" applyFont="1"/>
    <xf numFmtId="0" fontId="14" fillId="0" borderId="0" xfId="0" applyFont="1"/>
    <xf numFmtId="175" fontId="0" fillId="0" borderId="0" xfId="10" applyNumberFormat="1" applyFont="1"/>
    <xf numFmtId="0" fontId="2" fillId="0" borderId="0" xfId="0" applyFont="1" applyAlignment="1">
      <alignment horizontal="center"/>
    </xf>
    <xf numFmtId="176" fontId="8" fillId="0" borderId="0" xfId="0" applyNumberFormat="1" applyFont="1" applyFill="1" applyBorder="1"/>
    <xf numFmtId="44" fontId="3" fillId="0" borderId="0" xfId="10" applyNumberFormat="1" applyFont="1"/>
    <xf numFmtId="174" fontId="2" fillId="0" borderId="0" xfId="10" applyNumberFormat="1" applyFont="1"/>
    <xf numFmtId="178" fontId="0" fillId="0" borderId="1" xfId="10" applyNumberFormat="1" applyFont="1" applyBorder="1"/>
    <xf numFmtId="0" fontId="8" fillId="0" borderId="0" xfId="0" applyFont="1" applyBorder="1"/>
    <xf numFmtId="176" fontId="0" fillId="0" borderId="0" xfId="0" applyNumberFormat="1"/>
    <xf numFmtId="44" fontId="8" fillId="0" borderId="0" xfId="10" applyFont="1" applyFill="1"/>
    <xf numFmtId="170" fontId="8" fillId="0" borderId="0" xfId="0" applyNumberFormat="1" applyFont="1"/>
    <xf numFmtId="44" fontId="8" fillId="0" borderId="0" xfId="10" applyNumberFormat="1" applyFont="1" applyFill="1"/>
    <xf numFmtId="170" fontId="8" fillId="0" borderId="0" xfId="21" applyNumberFormat="1" applyFont="1" applyFill="1" applyBorder="1"/>
    <xf numFmtId="44" fontId="2" fillId="0" borderId="0" xfId="0" applyNumberFormat="1" applyFont="1"/>
    <xf numFmtId="9" fontId="2" fillId="0" borderId="0" xfId="21" applyFont="1"/>
    <xf numFmtId="0" fontId="8" fillId="0" borderId="0" xfId="0" applyFont="1"/>
    <xf numFmtId="170" fontId="6" fillId="0" borderId="1" xfId="21" applyNumberFormat="1" applyFont="1" applyFill="1" applyBorder="1" applyAlignment="1" applyProtection="1">
      <alignment horizontal="center"/>
      <protection locked="0"/>
    </xf>
    <xf numFmtId="4" fontId="8" fillId="0" borderId="0" xfId="0" applyNumberFormat="1" applyFont="1" applyFill="1"/>
    <xf numFmtId="0" fontId="0" fillId="0" borderId="0" xfId="0" applyBorder="1" applyAlignment="1">
      <alignment horizontal="right"/>
    </xf>
    <xf numFmtId="39" fontId="3" fillId="0" borderId="0" xfId="0" applyNumberFormat="1" applyFont="1"/>
    <xf numFmtId="0" fontId="19" fillId="0" borderId="9" xfId="0" applyFont="1" applyBorder="1" applyAlignment="1" applyProtection="1">
      <alignment horizontal="center"/>
      <protection locked="0"/>
    </xf>
    <xf numFmtId="0" fontId="6" fillId="2" borderId="0" xfId="0" applyFont="1" applyFill="1" applyAlignment="1">
      <alignment vertical="center" wrapText="1"/>
    </xf>
    <xf numFmtId="0" fontId="6" fillId="2" borderId="0" xfId="0" applyFont="1" applyFill="1" applyAlignment="1">
      <alignment horizontal="left" vertical="center" wrapText="1"/>
    </xf>
    <xf numFmtId="1" fontId="6" fillId="2" borderId="0" xfId="0" applyNumberFormat="1" applyFont="1" applyFill="1" applyAlignment="1" applyProtection="1">
      <alignment horizontal="right"/>
      <protection locked="0"/>
    </xf>
    <xf numFmtId="8" fontId="16" fillId="2" borderId="0" xfId="0" applyNumberFormat="1" applyFont="1" applyFill="1" applyAlignment="1">
      <alignment horizontal="left"/>
    </xf>
    <xf numFmtId="0" fontId="15" fillId="3" borderId="4" xfId="0" applyFont="1" applyFill="1" applyBorder="1"/>
    <xf numFmtId="0" fontId="15" fillId="3" borderId="1" xfId="0" applyFont="1" applyFill="1" applyBorder="1" applyAlignment="1">
      <alignment horizontal="center"/>
    </xf>
    <xf numFmtId="166" fontId="15" fillId="3" borderId="1" xfId="10" applyNumberFormat="1" applyFont="1" applyFill="1" applyBorder="1"/>
    <xf numFmtId="0" fontId="0" fillId="3" borderId="4" xfId="0" applyFill="1" applyBorder="1"/>
    <xf numFmtId="166" fontId="0" fillId="3" borderId="1" xfId="10" applyNumberFormat="1" applyFont="1" applyFill="1" applyBorder="1"/>
    <xf numFmtId="0" fontId="0" fillId="3" borderId="1" xfId="0" applyFill="1" applyBorder="1" applyAlignment="1">
      <alignment horizontal="center"/>
    </xf>
    <xf numFmtId="0" fontId="19" fillId="3" borderId="9" xfId="0" applyFont="1" applyFill="1" applyBorder="1" applyAlignment="1" applyProtection="1">
      <alignment horizontal="center"/>
      <protection locked="0"/>
    </xf>
    <xf numFmtId="0" fontId="19" fillId="0" borderId="10" xfId="0" applyFont="1" applyBorder="1" applyAlignment="1" applyProtection="1">
      <alignment horizontal="center"/>
      <protection locked="0" hidden="1"/>
    </xf>
    <xf numFmtId="0" fontId="20" fillId="2" borderId="0" xfId="0" applyFont="1" applyFill="1" applyProtection="1">
      <protection locked="0" hidden="1"/>
    </xf>
    <xf numFmtId="44" fontId="18" fillId="0" borderId="0" xfId="0" applyNumberFormat="1" applyFont="1" applyAlignment="1">
      <alignment horizontal="center"/>
    </xf>
    <xf numFmtId="168" fontId="15" fillId="0" borderId="0" xfId="0" applyNumberFormat="1" applyFont="1" applyAlignment="1">
      <alignment horizontal="left"/>
    </xf>
    <xf numFmtId="0" fontId="3" fillId="0" borderId="0" xfId="0" applyFont="1" applyBorder="1"/>
    <xf numFmtId="0" fontId="0" fillId="4" borderId="0" xfId="0" applyFill="1" applyBorder="1"/>
    <xf numFmtId="0" fontId="3" fillId="0" borderId="0" xfId="0" applyFont="1" applyAlignment="1">
      <alignment horizontal="center"/>
    </xf>
    <xf numFmtId="17" fontId="2" fillId="0" borderId="0" xfId="10" applyNumberFormat="1" applyFont="1" applyAlignment="1">
      <alignment horizontal="center"/>
    </xf>
    <xf numFmtId="0" fontId="14" fillId="0" borderId="11" xfId="0" applyFont="1" applyBorder="1"/>
    <xf numFmtId="167" fontId="8" fillId="0" borderId="0" xfId="1" applyNumberFormat="1" applyFont="1"/>
    <xf numFmtId="0" fontId="0" fillId="0" borderId="1" xfId="0" applyBorder="1"/>
    <xf numFmtId="175" fontId="0" fillId="0" borderId="1" xfId="10" applyNumberFormat="1" applyFont="1" applyBorder="1"/>
    <xf numFmtId="172" fontId="0" fillId="0" borderId="1" xfId="10" applyNumberFormat="1" applyFont="1" applyBorder="1"/>
    <xf numFmtId="44" fontId="0" fillId="0" borderId="1" xfId="10" applyNumberFormat="1" applyFont="1" applyBorder="1"/>
    <xf numFmtId="44" fontId="0" fillId="0" borderId="1" xfId="10" applyFont="1" applyBorder="1"/>
    <xf numFmtId="44" fontId="0" fillId="0" borderId="1" xfId="0" applyNumberFormat="1" applyBorder="1"/>
    <xf numFmtId="0" fontId="15" fillId="0" borderId="11" xfId="0" applyFont="1" applyBorder="1"/>
    <xf numFmtId="0" fontId="6" fillId="0" borderId="11" xfId="0" applyFont="1" applyBorder="1"/>
    <xf numFmtId="0" fontId="12" fillId="0" borderId="11" xfId="0" applyFont="1" applyBorder="1"/>
    <xf numFmtId="0" fontId="3" fillId="0" borderId="11" xfId="0" applyFont="1" applyBorder="1"/>
    <xf numFmtId="44" fontId="3" fillId="0" borderId="0" xfId="21" applyNumberFormat="1" applyFont="1"/>
    <xf numFmtId="0" fontId="0" fillId="0" borderId="11" xfId="0" applyBorder="1"/>
    <xf numFmtId="44" fontId="3" fillId="0" borderId="0" xfId="0" applyNumberFormat="1" applyFont="1"/>
    <xf numFmtId="0" fontId="3" fillId="0" borderId="0" xfId="0" applyFont="1" applyAlignment="1">
      <alignment horizontal="left"/>
    </xf>
    <xf numFmtId="0" fontId="14" fillId="0" borderId="0" xfId="0" applyFont="1" applyBorder="1"/>
    <xf numFmtId="44" fontId="14" fillId="0" borderId="11" xfId="10" applyFont="1" applyBorder="1"/>
    <xf numFmtId="0" fontId="1" fillId="4" borderId="0" xfId="0" applyFont="1" applyFill="1" applyBorder="1"/>
    <xf numFmtId="3" fontId="0" fillId="4" borderId="0" xfId="0" applyNumberFormat="1" applyFill="1"/>
    <xf numFmtId="3" fontId="16" fillId="4" borderId="0" xfId="0" applyNumberFormat="1" applyFont="1" applyFill="1"/>
    <xf numFmtId="0" fontId="0" fillId="4" borderId="0" xfId="0" applyFill="1" applyAlignment="1">
      <alignment horizontal="center"/>
    </xf>
    <xf numFmtId="166" fontId="1" fillId="0" borderId="1" xfId="10" applyNumberFormat="1" applyFill="1" applyBorder="1"/>
    <xf numFmtId="0" fontId="16" fillId="4" borderId="0" xfId="0" applyFont="1" applyFill="1"/>
    <xf numFmtId="44" fontId="1" fillId="0" borderId="1" xfId="10" applyFill="1" applyBorder="1"/>
    <xf numFmtId="0" fontId="0" fillId="4" borderId="0" xfId="0" applyFill="1" applyBorder="1" applyAlignment="1">
      <alignment horizontal="center"/>
    </xf>
    <xf numFmtId="175" fontId="1" fillId="4" borderId="0" xfId="10" applyNumberFormat="1" applyFill="1" applyBorder="1"/>
    <xf numFmtId="0" fontId="16" fillId="4" borderId="0" xfId="0" applyFont="1" applyFill="1" applyBorder="1"/>
    <xf numFmtId="44" fontId="1" fillId="4" borderId="0" xfId="10" applyFill="1" applyBorder="1"/>
    <xf numFmtId="0" fontId="2" fillId="4" borderId="0" xfId="10" applyNumberFormat="1" applyFont="1" applyFill="1" applyBorder="1"/>
    <xf numFmtId="169" fontId="1" fillId="0" borderId="1" xfId="10" applyNumberFormat="1" applyFill="1" applyBorder="1"/>
    <xf numFmtId="0" fontId="0" fillId="0" borderId="1" xfId="0" applyFill="1" applyBorder="1" applyAlignment="1">
      <alignment horizontal="center"/>
    </xf>
    <xf numFmtId="3" fontId="16" fillId="4" borderId="0" xfId="0" applyNumberFormat="1" applyFont="1" applyFill="1" applyBorder="1"/>
    <xf numFmtId="165" fontId="1" fillId="4" borderId="1" xfId="21" applyNumberFormat="1" applyFill="1" applyBorder="1" applyAlignment="1">
      <alignment horizontal="center"/>
    </xf>
    <xf numFmtId="0" fontId="0" fillId="4" borderId="1" xfId="0" applyFill="1" applyBorder="1" applyAlignment="1">
      <alignment horizontal="center"/>
    </xf>
    <xf numFmtId="180" fontId="0" fillId="0" borderId="1" xfId="10" applyNumberFormat="1" applyFont="1" applyBorder="1"/>
    <xf numFmtId="177" fontId="0" fillId="0" borderId="1" xfId="10" applyNumberFormat="1" applyFont="1" applyBorder="1"/>
    <xf numFmtId="164" fontId="0" fillId="0" borderId="1" xfId="10" applyNumberFormat="1" applyFont="1" applyBorder="1"/>
    <xf numFmtId="41" fontId="6" fillId="0" borderId="1" xfId="1" applyNumberFormat="1" applyFont="1" applyFill="1" applyBorder="1" applyProtection="1">
      <protection locked="0"/>
    </xf>
    <xf numFmtId="165" fontId="0" fillId="0" borderId="1" xfId="0" applyNumberFormat="1" applyFill="1" applyBorder="1" applyAlignment="1">
      <alignment horizontal="right"/>
    </xf>
    <xf numFmtId="170" fontId="2" fillId="0" borderId="0" xfId="21" applyNumberFormat="1" applyFont="1"/>
    <xf numFmtId="43" fontId="6" fillId="0" borderId="1" xfId="1" applyNumberFormat="1" applyFont="1" applyFill="1" applyBorder="1" applyProtection="1">
      <protection locked="0"/>
    </xf>
    <xf numFmtId="3" fontId="0" fillId="0" borderId="0" xfId="0" applyNumberFormat="1" applyBorder="1"/>
    <xf numFmtId="3" fontId="16" fillId="0" borderId="0" xfId="0" applyNumberFormat="1" applyFont="1" applyBorder="1"/>
    <xf numFmtId="44" fontId="1" fillId="0" borderId="1" xfId="10" applyBorder="1"/>
    <xf numFmtId="166" fontId="1" fillId="0" borderId="1" xfId="10" applyNumberFormat="1" applyBorder="1"/>
    <xf numFmtId="175" fontId="1" fillId="0" borderId="1" xfId="10" applyNumberFormat="1" applyBorder="1"/>
    <xf numFmtId="0" fontId="3" fillId="0" borderId="11" xfId="0" applyFont="1" applyBorder="1" applyAlignment="1">
      <alignment horizontal="center"/>
    </xf>
    <xf numFmtId="44" fontId="1" fillId="0" borderId="1" xfId="10" applyFont="1" applyBorder="1"/>
    <xf numFmtId="39" fontId="3" fillId="0" borderId="0" xfId="10" applyNumberFormat="1" applyFont="1"/>
    <xf numFmtId="0" fontId="3" fillId="0" borderId="1" xfId="0" applyFont="1" applyBorder="1" applyAlignment="1">
      <alignment horizontal="center"/>
    </xf>
    <xf numFmtId="0" fontId="3" fillId="0" borderId="1" xfId="0" applyFont="1" applyFill="1" applyBorder="1" applyAlignment="1">
      <alignment horizontal="center"/>
    </xf>
    <xf numFmtId="0" fontId="9" fillId="0" borderId="0" xfId="0" applyFont="1" applyAlignment="1">
      <alignment horizontal="left"/>
    </xf>
    <xf numFmtId="39" fontId="8" fillId="0" borderId="0" xfId="10" applyNumberFormat="1" applyFont="1"/>
    <xf numFmtId="39" fontId="9" fillId="0" borderId="0" xfId="10" applyNumberFormat="1" applyFont="1"/>
    <xf numFmtId="174" fontId="8" fillId="0" borderId="0" xfId="10" applyNumberFormat="1" applyFont="1"/>
    <xf numFmtId="0" fontId="25" fillId="0" borderId="0" xfId="0" applyFont="1"/>
    <xf numFmtId="44" fontId="14" fillId="0" borderId="0" xfId="10" applyFont="1"/>
    <xf numFmtId="0" fontId="15" fillId="4" borderId="0" xfId="0" applyFont="1" applyFill="1" applyBorder="1"/>
    <xf numFmtId="0" fontId="21" fillId="2" borderId="0" xfId="0" applyFont="1" applyFill="1" applyAlignment="1">
      <alignment horizontal="center"/>
    </xf>
    <xf numFmtId="0" fontId="6" fillId="0" borderId="1" xfId="0" applyFont="1" applyFill="1" applyBorder="1" applyAlignment="1" applyProtection="1">
      <alignment horizontal="center"/>
      <protection locked="0"/>
    </xf>
    <xf numFmtId="0" fontId="12" fillId="4" borderId="11" xfId="0" applyFont="1" applyFill="1" applyBorder="1"/>
    <xf numFmtId="0" fontId="9" fillId="4" borderId="11" xfId="0" applyFont="1" applyFill="1" applyBorder="1"/>
    <xf numFmtId="0" fontId="0" fillId="4" borderId="11" xfId="0" applyFill="1" applyBorder="1"/>
    <xf numFmtId="0" fontId="0" fillId="0" borderId="0" xfId="0" applyAlignment="1">
      <alignment horizontal="right"/>
    </xf>
    <xf numFmtId="0" fontId="3" fillId="4" borderId="1" xfId="0" applyFont="1" applyFill="1" applyBorder="1" applyAlignment="1">
      <alignment horizontal="center"/>
    </xf>
    <xf numFmtId="0" fontId="24" fillId="0" borderId="0" xfId="0" applyFont="1" applyAlignment="1">
      <alignment vertical="center" wrapText="1"/>
    </xf>
    <xf numFmtId="0" fontId="14" fillId="4" borderId="0" xfId="0" applyFont="1" applyFill="1" applyBorder="1"/>
    <xf numFmtId="0" fontId="13" fillId="4" borderId="0" xfId="0" applyFont="1" applyFill="1" applyBorder="1"/>
    <xf numFmtId="14" fontId="9" fillId="4" borderId="0" xfId="0" applyNumberFormat="1" applyFont="1" applyFill="1" applyBorder="1" applyAlignment="1">
      <alignment horizontal="left"/>
    </xf>
    <xf numFmtId="0" fontId="0" fillId="4" borderId="0" xfId="0" applyFill="1"/>
    <xf numFmtId="170" fontId="2" fillId="4" borderId="0" xfId="21" applyNumberFormat="1" applyFont="1" applyFill="1" applyBorder="1"/>
    <xf numFmtId="0" fontId="15" fillId="4" borderId="0" xfId="0" applyFont="1" applyFill="1"/>
    <xf numFmtId="3" fontId="8" fillId="4" borderId="0" xfId="0" applyNumberFormat="1" applyFont="1" applyFill="1"/>
    <xf numFmtId="0" fontId="15" fillId="4" borderId="11" xfId="0" applyFont="1" applyFill="1" applyBorder="1"/>
    <xf numFmtId="3" fontId="8" fillId="4" borderId="11" xfId="0" applyNumberFormat="1" applyFont="1" applyFill="1" applyBorder="1"/>
    <xf numFmtId="0" fontId="6" fillId="4" borderId="11" xfId="0" applyFont="1" applyFill="1" applyBorder="1"/>
    <xf numFmtId="44" fontId="8" fillId="4" borderId="11" xfId="10" applyFont="1" applyFill="1" applyBorder="1"/>
    <xf numFmtId="0" fontId="0" fillId="4" borderId="12" xfId="0" applyFill="1" applyBorder="1"/>
    <xf numFmtId="0" fontId="0" fillId="4" borderId="0" xfId="0" applyNumberFormat="1" applyFill="1" applyBorder="1" applyAlignment="1">
      <alignment horizontal="center"/>
    </xf>
    <xf numFmtId="0" fontId="30" fillId="4" borderId="0" xfId="0" applyNumberFormat="1" applyFont="1" applyFill="1" applyAlignment="1">
      <alignment horizontal="center"/>
    </xf>
    <xf numFmtId="44" fontId="1" fillId="0" borderId="1" xfId="10" applyNumberFormat="1" applyFont="1" applyFill="1" applyBorder="1"/>
    <xf numFmtId="44" fontId="1" fillId="0" borderId="1" xfId="10" applyNumberFormat="1" applyFill="1" applyBorder="1"/>
    <xf numFmtId="17" fontId="16" fillId="4" borderId="0" xfId="0" quotePrefix="1" applyNumberFormat="1" applyFont="1" applyFill="1" applyBorder="1" applyAlignment="1">
      <alignment horizontal="center"/>
    </xf>
    <xf numFmtId="175" fontId="1" fillId="0" borderId="1" xfId="10" applyNumberFormat="1" applyFill="1" applyBorder="1"/>
    <xf numFmtId="0" fontId="3" fillId="4" borderId="0" xfId="0" applyFont="1" applyFill="1" applyBorder="1"/>
    <xf numFmtId="3" fontId="3" fillId="4" borderId="0" xfId="0" applyNumberFormat="1" applyFont="1" applyFill="1" applyBorder="1"/>
    <xf numFmtId="0" fontId="17" fillId="4" borderId="0" xfId="0" applyFont="1" applyFill="1" applyBorder="1"/>
    <xf numFmtId="44" fontId="12" fillId="4" borderId="0" xfId="0" applyNumberFormat="1" applyFont="1" applyFill="1" applyBorder="1" applyAlignment="1">
      <alignment horizontal="center"/>
    </xf>
    <xf numFmtId="0" fontId="3" fillId="4" borderId="11" xfId="0" applyFont="1" applyFill="1" applyBorder="1"/>
    <xf numFmtId="3" fontId="3" fillId="4" borderId="11" xfId="0" applyNumberFormat="1" applyFont="1" applyFill="1" applyBorder="1"/>
    <xf numFmtId="0" fontId="17" fillId="4" borderId="11" xfId="0" applyFont="1" applyFill="1" applyBorder="1"/>
    <xf numFmtId="0" fontId="0" fillId="4" borderId="11" xfId="0" applyNumberFormat="1" applyFill="1" applyBorder="1" applyAlignment="1">
      <alignment horizontal="center"/>
    </xf>
    <xf numFmtId="0" fontId="0" fillId="0" borderId="0" xfId="0" applyNumberFormat="1" applyAlignment="1">
      <alignment horizontal="center"/>
    </xf>
    <xf numFmtId="165" fontId="1" fillId="4" borderId="0" xfId="21" applyNumberFormat="1" applyFill="1" applyBorder="1"/>
    <xf numFmtId="0" fontId="31" fillId="4" borderId="0" xfId="0" applyFont="1" applyFill="1" applyBorder="1"/>
    <xf numFmtId="177" fontId="1" fillId="0" borderId="1" xfId="10" applyNumberFormat="1" applyFill="1" applyBorder="1"/>
    <xf numFmtId="171" fontId="0" fillId="0" borderId="1" xfId="0" applyNumberFormat="1" applyFill="1" applyBorder="1" applyAlignment="1">
      <alignment horizontal="right"/>
    </xf>
    <xf numFmtId="0" fontId="12" fillId="4" borderId="0" xfId="0" applyFont="1" applyFill="1" applyBorder="1"/>
    <xf numFmtId="3" fontId="14" fillId="4" borderId="0" xfId="0" applyNumberFormat="1" applyFont="1" applyFill="1"/>
    <xf numFmtId="3" fontId="32" fillId="4" borderId="0" xfId="0" applyNumberFormat="1" applyFont="1" applyFill="1" applyBorder="1"/>
    <xf numFmtId="0" fontId="14" fillId="4" borderId="0" xfId="0" applyFont="1" applyFill="1" applyBorder="1" applyAlignment="1">
      <alignment horizontal="center"/>
    </xf>
    <xf numFmtId="0" fontId="32" fillId="4" borderId="0" xfId="0" applyFont="1" applyFill="1"/>
    <xf numFmtId="17" fontId="32" fillId="4" borderId="0" xfId="0" quotePrefix="1" applyNumberFormat="1" applyFont="1" applyFill="1" applyBorder="1" applyAlignment="1">
      <alignment horizontal="center"/>
    </xf>
    <xf numFmtId="0" fontId="14" fillId="4" borderId="11" xfId="0" applyFont="1" applyFill="1" applyBorder="1"/>
    <xf numFmtId="44" fontId="14" fillId="4" borderId="11" xfId="0" applyNumberFormat="1" applyFont="1" applyFill="1" applyBorder="1" applyAlignment="1">
      <alignment horizontal="center"/>
    </xf>
    <xf numFmtId="44" fontId="14" fillId="4" borderId="11" xfId="10" applyNumberFormat="1" applyFont="1" applyFill="1" applyBorder="1"/>
    <xf numFmtId="175" fontId="1" fillId="4" borderId="0" xfId="10" applyNumberFormat="1" applyFont="1" applyFill="1" applyBorder="1"/>
    <xf numFmtId="44" fontId="3" fillId="4" borderId="0" xfId="10" applyFont="1" applyFill="1" applyBorder="1"/>
    <xf numFmtId="44" fontId="14" fillId="4" borderId="0" xfId="10" applyFont="1" applyFill="1" applyBorder="1"/>
    <xf numFmtId="39" fontId="3" fillId="4" borderId="0" xfId="0" applyNumberFormat="1" applyFont="1" applyFill="1"/>
    <xf numFmtId="170" fontId="3" fillId="0" borderId="0" xfId="21" applyNumberFormat="1" applyFont="1"/>
    <xf numFmtId="183" fontId="0" fillId="4" borderId="0" xfId="0" applyNumberFormat="1" applyFill="1" applyBorder="1"/>
    <xf numFmtId="0" fontId="9" fillId="4" borderId="0" xfId="0" applyFont="1" applyFill="1" applyBorder="1" applyAlignment="1">
      <alignment horizontal="left"/>
    </xf>
    <xf numFmtId="7" fontId="3" fillId="0" borderId="0" xfId="10" applyNumberFormat="1" applyFont="1" applyBorder="1"/>
    <xf numFmtId="44" fontId="0" fillId="0" borderId="1" xfId="0" applyNumberFormat="1" applyFill="1" applyBorder="1" applyAlignment="1">
      <alignment horizontal="right"/>
    </xf>
    <xf numFmtId="0" fontId="10" fillId="4" borderId="0" xfId="0" applyFont="1" applyFill="1" applyAlignment="1"/>
    <xf numFmtId="0" fontId="11" fillId="0" borderId="0" xfId="0" applyFont="1" applyAlignment="1"/>
    <xf numFmtId="44" fontId="29" fillId="0" borderId="0" xfId="0" applyNumberFormat="1" applyFont="1" applyAlignment="1"/>
    <xf numFmtId="0" fontId="34" fillId="0" borderId="0" xfId="0" applyFont="1"/>
    <xf numFmtId="164" fontId="1" fillId="0" borderId="1" xfId="10" applyNumberFormat="1" applyFill="1" applyBorder="1"/>
    <xf numFmtId="183" fontId="2" fillId="4" borderId="0" xfId="0" applyNumberFormat="1" applyFont="1" applyFill="1" applyBorder="1" applyAlignment="1">
      <alignment horizontal="center"/>
    </xf>
    <xf numFmtId="0" fontId="10" fillId="0" borderId="0" xfId="0" applyFont="1" applyAlignment="1"/>
    <xf numFmtId="0" fontId="24" fillId="0" borderId="8" xfId="0" applyFont="1" applyBorder="1" applyAlignment="1">
      <alignment vertical="center" wrapText="1"/>
    </xf>
    <xf numFmtId="181" fontId="1" fillId="0" borderId="1" xfId="10" applyNumberFormat="1" applyFill="1" applyBorder="1"/>
    <xf numFmtId="168" fontId="15" fillId="0" borderId="0" xfId="0" applyNumberFormat="1" applyFont="1" applyAlignment="1"/>
    <xf numFmtId="184" fontId="0" fillId="0" borderId="0" xfId="0" applyNumberFormat="1"/>
    <xf numFmtId="7" fontId="3" fillId="0" borderId="0" xfId="0" applyNumberFormat="1" applyFont="1"/>
    <xf numFmtId="44" fontId="0" fillId="0" borderId="1" xfId="10" applyFont="1" applyFill="1" applyBorder="1"/>
    <xf numFmtId="0" fontId="2" fillId="4" borderId="0" xfId="0" applyFont="1" applyFill="1" applyBorder="1"/>
    <xf numFmtId="182" fontId="6" fillId="0" borderId="1" xfId="1" applyNumberFormat="1" applyFont="1" applyFill="1" applyBorder="1" applyProtection="1">
      <protection locked="0"/>
    </xf>
    <xf numFmtId="185" fontId="8" fillId="0" borderId="0" xfId="0" applyNumberFormat="1" applyFont="1" applyFill="1"/>
    <xf numFmtId="0" fontId="2" fillId="2" borderId="0" xfId="0" applyFont="1" applyFill="1" applyProtection="1">
      <protection locked="0"/>
    </xf>
    <xf numFmtId="0" fontId="2" fillId="2" borderId="0" xfId="0" applyFont="1" applyFill="1" applyProtection="1">
      <protection locked="0" hidden="1"/>
    </xf>
    <xf numFmtId="6" fontId="2" fillId="2" borderId="0" xfId="0" applyNumberFormat="1" applyFont="1" applyFill="1"/>
    <xf numFmtId="0" fontId="1" fillId="2" borderId="0" xfId="0" applyFont="1" applyFill="1"/>
    <xf numFmtId="0" fontId="23" fillId="0" borderId="0" xfId="19" applyAlignment="1" applyProtection="1"/>
    <xf numFmtId="0" fontId="0" fillId="2" borderId="0" xfId="0" applyFill="1" applyAlignment="1">
      <alignment horizontal="right"/>
    </xf>
    <xf numFmtId="0" fontId="6" fillId="5" borderId="0" xfId="0" applyFont="1" applyFill="1"/>
    <xf numFmtId="184" fontId="0" fillId="4" borderId="0" xfId="0" applyNumberFormat="1" applyFill="1" applyBorder="1"/>
    <xf numFmtId="184" fontId="0" fillId="4" borderId="0" xfId="0" applyNumberFormat="1" applyFill="1" applyBorder="1" applyAlignment="1">
      <alignment horizontal="right"/>
    </xf>
    <xf numFmtId="183" fontId="0" fillId="0" borderId="0" xfId="0" applyNumberFormat="1"/>
    <xf numFmtId="0" fontId="8" fillId="2" borderId="0" xfId="0" applyFont="1" applyFill="1"/>
    <xf numFmtId="17" fontId="28" fillId="2" borderId="0" xfId="0" applyNumberFormat="1" applyFont="1" applyFill="1" applyBorder="1" applyAlignment="1">
      <alignment horizontal="left"/>
    </xf>
    <xf numFmtId="179" fontId="0" fillId="2" borderId="0" xfId="0" applyNumberFormat="1" applyFill="1"/>
    <xf numFmtId="0" fontId="0" fillId="0" borderId="0" xfId="0" applyFill="1"/>
    <xf numFmtId="0" fontId="2" fillId="0" borderId="0" xfId="0" applyFont="1" applyAlignment="1">
      <alignment horizontal="right"/>
    </xf>
    <xf numFmtId="44" fontId="37" fillId="0" borderId="0" xfId="10" applyFont="1"/>
    <xf numFmtId="3" fontId="2" fillId="2" borderId="0" xfId="0" applyNumberFormat="1" applyFont="1" applyFill="1"/>
    <xf numFmtId="2" fontId="38" fillId="2" borderId="0" xfId="0" applyNumberFormat="1" applyFont="1" applyFill="1"/>
    <xf numFmtId="0" fontId="2" fillId="2" borderId="0" xfId="0" applyFont="1" applyFill="1"/>
    <xf numFmtId="8" fontId="2" fillId="2" borderId="0" xfId="0" applyNumberFormat="1" applyFont="1" applyFill="1" applyAlignment="1">
      <alignment horizontal="right"/>
    </xf>
    <xf numFmtId="170" fontId="3" fillId="2" borderId="0" xfId="0" applyNumberFormat="1" applyFont="1" applyFill="1" applyAlignment="1">
      <alignment horizontal="center"/>
    </xf>
    <xf numFmtId="0" fontId="2" fillId="2" borderId="0" xfId="0" applyFont="1" applyFill="1" applyAlignment="1" applyProtection="1">
      <alignment horizontal="center"/>
      <protection hidden="1"/>
    </xf>
    <xf numFmtId="0" fontId="2" fillId="2" borderId="0" xfId="0" applyFont="1" applyFill="1" applyAlignment="1" applyProtection="1">
      <alignment horizontal="left"/>
      <protection locked="0"/>
    </xf>
    <xf numFmtId="0" fontId="20" fillId="2" borderId="0" xfId="0" applyFont="1" applyFill="1"/>
    <xf numFmtId="175" fontId="0" fillId="0" borderId="1" xfId="0" applyNumberFormat="1" applyFill="1" applyBorder="1" applyAlignment="1">
      <alignment horizontal="right"/>
    </xf>
    <xf numFmtId="165" fontId="0" fillId="0" borderId="1" xfId="21" applyNumberFormat="1" applyFont="1" applyFill="1" applyBorder="1" applyAlignment="1">
      <alignment horizontal="right"/>
    </xf>
    <xf numFmtId="186" fontId="1" fillId="0" borderId="1" xfId="10" applyNumberFormat="1" applyFill="1" applyBorder="1"/>
    <xf numFmtId="0" fontId="0" fillId="2" borderId="0" xfId="0" applyFill="1" applyAlignment="1">
      <alignment horizontal="left"/>
    </xf>
    <xf numFmtId="0" fontId="0" fillId="4" borderId="0" xfId="0" applyFont="1" applyFill="1" applyBorder="1"/>
    <xf numFmtId="0" fontId="45" fillId="0" borderId="0" xfId="0" applyFont="1" applyAlignment="1">
      <alignment horizontal="left"/>
    </xf>
    <xf numFmtId="39" fontId="45" fillId="4" borderId="0" xfId="0" applyNumberFormat="1" applyFont="1" applyFill="1"/>
    <xf numFmtId="14" fontId="2" fillId="2" borderId="0" xfId="0" applyNumberFormat="1" applyFont="1" applyFill="1"/>
    <xf numFmtId="14" fontId="16" fillId="4" borderId="0" xfId="0" quotePrefix="1" applyNumberFormat="1" applyFont="1" applyFill="1" applyBorder="1" applyAlignment="1">
      <alignment horizontal="center"/>
    </xf>
    <xf numFmtId="183" fontId="16" fillId="4" borderId="0" xfId="0" quotePrefix="1" applyNumberFormat="1" applyFont="1" applyFill="1" applyBorder="1" applyAlignment="1">
      <alignment horizontal="center"/>
    </xf>
    <xf numFmtId="175" fontId="42" fillId="0" borderId="1" xfId="11" applyNumberFormat="1" applyFill="1" applyBorder="1"/>
    <xf numFmtId="0" fontId="46" fillId="2" borderId="0" xfId="0" applyFont="1" applyFill="1" applyAlignment="1" applyProtection="1">
      <alignment horizontal="left"/>
      <protection locked="0"/>
    </xf>
    <xf numFmtId="0" fontId="2" fillId="4" borderId="0" xfId="0" applyFont="1" applyFill="1" applyAlignment="1">
      <alignment horizontal="center"/>
    </xf>
    <xf numFmtId="44" fontId="1" fillId="6" borderId="1" xfId="10" applyFill="1" applyBorder="1"/>
    <xf numFmtId="175" fontId="0" fillId="0" borderId="1" xfId="10" applyNumberFormat="1" applyFont="1" applyFill="1" applyBorder="1" applyAlignment="1">
      <alignment horizontal="right"/>
    </xf>
    <xf numFmtId="17" fontId="21" fillId="2" borderId="13" xfId="0" applyNumberFormat="1" applyFont="1" applyFill="1" applyBorder="1" applyAlignment="1">
      <alignment horizontal="center"/>
    </xf>
    <xf numFmtId="175" fontId="0" fillId="0" borderId="0" xfId="10" applyNumberFormat="1" applyFont="1" applyBorder="1" applyAlignment="1">
      <alignment horizontal="center"/>
    </xf>
    <xf numFmtId="175" fontId="2" fillId="0" borderId="0" xfId="10" applyNumberFormat="1" applyFont="1" applyBorder="1" applyAlignment="1">
      <alignment horizontal="center"/>
    </xf>
    <xf numFmtId="0" fontId="0" fillId="4" borderId="0" xfId="0" applyFill="1" applyBorder="1" applyAlignment="1">
      <alignment horizontal="center" vertical="center"/>
    </xf>
    <xf numFmtId="0" fontId="0" fillId="0" borderId="0" xfId="0" applyAlignment="1">
      <alignment horizontal="center" vertical="center"/>
    </xf>
    <xf numFmtId="17" fontId="21" fillId="2" borderId="13" xfId="0" applyNumberFormat="1" applyFont="1" applyFill="1" applyBorder="1" applyAlignment="1"/>
    <xf numFmtId="0" fontId="47" fillId="2" borderId="0" xfId="0" applyFont="1" applyFill="1" applyAlignment="1">
      <alignment horizontal="left" vertical="center" wrapText="1"/>
    </xf>
    <xf numFmtId="6" fontId="46" fillId="2" borderId="0" xfId="0" applyNumberFormat="1" applyFont="1" applyFill="1" applyAlignment="1">
      <alignment horizontal="left"/>
    </xf>
    <xf numFmtId="7" fontId="0" fillId="0" borderId="1" xfId="0" applyNumberFormat="1" applyFill="1" applyBorder="1" applyAlignment="1">
      <alignment horizontal="right"/>
    </xf>
    <xf numFmtId="44" fontId="0" fillId="0" borderId="1" xfId="10" applyFont="1" applyFill="1" applyBorder="1" applyAlignment="1">
      <alignment horizontal="right"/>
    </xf>
    <xf numFmtId="7" fontId="1" fillId="0" borderId="1" xfId="10" applyNumberFormat="1" applyFill="1" applyBorder="1"/>
    <xf numFmtId="41" fontId="15" fillId="4" borderId="0" xfId="0" applyNumberFormat="1" applyFont="1" applyFill="1"/>
    <xf numFmtId="0" fontId="48" fillId="0" borderId="0" xfId="0" applyFont="1"/>
    <xf numFmtId="175" fontId="0" fillId="0" borderId="1" xfId="10" applyNumberFormat="1" applyFont="1" applyFill="1" applyBorder="1"/>
    <xf numFmtId="188" fontId="16" fillId="4" borderId="0" xfId="0" quotePrefix="1" applyNumberFormat="1" applyFont="1" applyFill="1" applyBorder="1" applyAlignment="1">
      <alignment horizontal="center"/>
    </xf>
    <xf numFmtId="175" fontId="0" fillId="0" borderId="1" xfId="12" applyNumberFormat="1" applyFont="1" applyFill="1" applyBorder="1"/>
    <xf numFmtId="44" fontId="0" fillId="0" borderId="1" xfId="12" applyFont="1" applyFill="1" applyBorder="1"/>
    <xf numFmtId="168" fontId="15" fillId="0" borderId="0" xfId="0" applyNumberFormat="1" applyFont="1" applyAlignment="1">
      <alignment horizontal="left"/>
    </xf>
    <xf numFmtId="0" fontId="3" fillId="0" borderId="1" xfId="0" applyFont="1" applyBorder="1" applyAlignment="1">
      <alignment horizontal="center"/>
    </xf>
    <xf numFmtId="0" fontId="14" fillId="0" borderId="11" xfId="0" applyFont="1" applyBorder="1"/>
    <xf numFmtId="175" fontId="1" fillId="0" borderId="0" xfId="10" applyNumberFormat="1" applyFont="1" applyFill="1" applyBorder="1"/>
    <xf numFmtId="14" fontId="0" fillId="0" borderId="0" xfId="0" applyNumberFormat="1" applyFill="1" applyBorder="1"/>
    <xf numFmtId="0" fontId="2" fillId="0" borderId="19" xfId="0" applyFont="1" applyBorder="1" applyAlignment="1">
      <alignment horizontal="right"/>
    </xf>
    <xf numFmtId="0" fontId="2" fillId="0" borderId="0" xfId="0" applyFont="1" applyBorder="1" applyAlignment="1">
      <alignment horizontal="right"/>
    </xf>
    <xf numFmtId="168" fontId="15" fillId="0" borderId="0" xfId="0" applyNumberFormat="1" applyFont="1" applyAlignment="1">
      <alignment horizontal="center" vertical="center"/>
    </xf>
    <xf numFmtId="0" fontId="45" fillId="0" borderId="0" xfId="0" applyFont="1" applyBorder="1" applyAlignment="1">
      <alignment horizontal="left"/>
    </xf>
    <xf numFmtId="0" fontId="0" fillId="0" borderId="0" xfId="0" applyFill="1" applyBorder="1"/>
    <xf numFmtId="173" fontId="0" fillId="0" borderId="1" xfId="10" applyNumberFormat="1" applyFont="1" applyBorder="1"/>
    <xf numFmtId="173" fontId="0" fillId="0" borderId="1" xfId="0" applyNumberFormat="1" applyBorder="1"/>
    <xf numFmtId="168" fontId="15" fillId="0" borderId="0" xfId="0" applyNumberFormat="1" applyFont="1" applyAlignment="1">
      <alignment horizontal="left"/>
    </xf>
    <xf numFmtId="0" fontId="15" fillId="4" borderId="0" xfId="0" applyFont="1" applyFill="1" applyBorder="1"/>
    <xf numFmtId="0" fontId="2" fillId="4" borderId="0" xfId="0" applyFont="1" applyFill="1" applyBorder="1" applyAlignment="1">
      <alignment horizontal="center"/>
    </xf>
    <xf numFmtId="168" fontId="15" fillId="0" borderId="0" xfId="0" applyNumberFormat="1" applyFont="1" applyAlignment="1">
      <alignment horizontal="left"/>
    </xf>
    <xf numFmtId="0" fontId="3" fillId="0" borderId="1" xfId="0" applyFont="1" applyBorder="1" applyAlignment="1">
      <alignment horizontal="center"/>
    </xf>
    <xf numFmtId="0" fontId="14" fillId="0" borderId="11" xfId="0" applyFont="1" applyBorder="1"/>
    <xf numFmtId="176" fontId="8" fillId="0" borderId="0" xfId="0" applyNumberFormat="1" applyFont="1" applyFill="1"/>
    <xf numFmtId="168" fontId="15" fillId="0" borderId="0" xfId="0" applyNumberFormat="1" applyFont="1" applyAlignment="1">
      <alignment horizontal="left"/>
    </xf>
    <xf numFmtId="0" fontId="3" fillId="0" borderId="1" xfId="0" applyFont="1" applyBorder="1" applyAlignment="1">
      <alignment horizontal="center"/>
    </xf>
    <xf numFmtId="0" fontId="0" fillId="0" borderId="0" xfId="0" applyBorder="1" applyAlignment="1">
      <alignment horizontal="center"/>
    </xf>
    <xf numFmtId="14" fontId="1" fillId="2" borderId="0" xfId="0" applyNumberFormat="1" applyFont="1" applyFill="1"/>
    <xf numFmtId="44" fontId="3" fillId="0" borderId="0" xfId="10" applyNumberFormat="1" applyFont="1" applyBorder="1"/>
    <xf numFmtId="0" fontId="1" fillId="0" borderId="0" xfId="0" applyFont="1" applyAlignment="1">
      <alignment horizontal="right"/>
    </xf>
    <xf numFmtId="176" fontId="0" fillId="0" borderId="0" xfId="0" quotePrefix="1" applyNumberFormat="1"/>
    <xf numFmtId="176" fontId="0" fillId="0" borderId="0" xfId="0" quotePrefix="1" applyNumberFormat="1" applyFill="1"/>
    <xf numFmtId="176" fontId="0" fillId="0" borderId="0" xfId="0" applyNumberFormat="1" applyFill="1"/>
    <xf numFmtId="3" fontId="0" fillId="0" borderId="0" xfId="0" applyNumberFormat="1" applyFill="1"/>
    <xf numFmtId="7" fontId="3" fillId="0" borderId="0" xfId="0" applyNumberFormat="1" applyFont="1" applyFill="1"/>
    <xf numFmtId="7" fontId="3" fillId="0" borderId="0" xfId="10" applyNumberFormat="1" applyFont="1" applyFill="1" applyBorder="1"/>
    <xf numFmtId="0" fontId="1" fillId="0" borderId="0" xfId="30"/>
    <xf numFmtId="0" fontId="9" fillId="0" borderId="0" xfId="30" applyFont="1"/>
    <xf numFmtId="0" fontId="8" fillId="0" borderId="0" xfId="30" applyFont="1"/>
    <xf numFmtId="0" fontId="9" fillId="0" borderId="0" xfId="30" applyFont="1" applyAlignment="1">
      <alignment horizontal="left"/>
    </xf>
    <xf numFmtId="0" fontId="3" fillId="0" borderId="0" xfId="30" applyFont="1"/>
    <xf numFmtId="39" fontId="3" fillId="0" borderId="0" xfId="30" applyNumberFormat="1" applyFont="1"/>
    <xf numFmtId="0" fontId="3" fillId="0" borderId="0" xfId="30" applyFont="1" applyAlignment="1">
      <alignment horizontal="left"/>
    </xf>
    <xf numFmtId="0" fontId="14" fillId="0" borderId="0" xfId="30" applyFont="1"/>
    <xf numFmtId="9" fontId="1" fillId="0" borderId="0" xfId="21" applyFont="1"/>
    <xf numFmtId="0" fontId="1" fillId="0" borderId="0" xfId="30" applyAlignment="1">
      <alignment horizontal="center"/>
    </xf>
    <xf numFmtId="0" fontId="1" fillId="0" borderId="0" xfId="30" applyFont="1"/>
    <xf numFmtId="44" fontId="1" fillId="0" borderId="0" xfId="30" applyNumberFormat="1" applyFont="1"/>
    <xf numFmtId="170" fontId="1" fillId="0" borderId="0" xfId="21" applyNumberFormat="1" applyFont="1"/>
    <xf numFmtId="0" fontId="16" fillId="0" borderId="0" xfId="30" applyFont="1"/>
    <xf numFmtId="174" fontId="1" fillId="0" borderId="0" xfId="10" applyNumberFormat="1" applyFont="1"/>
    <xf numFmtId="39" fontId="45" fillId="4" borderId="0" xfId="30" applyNumberFormat="1" applyFont="1" applyFill="1"/>
    <xf numFmtId="0" fontId="1" fillId="4" borderId="0" xfId="30" applyFill="1" applyBorder="1"/>
    <xf numFmtId="0" fontId="25" fillId="0" borderId="0" xfId="30" applyFont="1"/>
    <xf numFmtId="0" fontId="45" fillId="0" borderId="0" xfId="30" applyFont="1" applyAlignment="1">
      <alignment horizontal="left"/>
    </xf>
    <xf numFmtId="39" fontId="3" fillId="4" borderId="0" xfId="30" applyNumberFormat="1" applyFont="1" applyFill="1"/>
    <xf numFmtId="14" fontId="16" fillId="4" borderId="0" xfId="30" quotePrefix="1" applyNumberFormat="1" applyFont="1" applyFill="1" applyBorder="1" applyAlignment="1">
      <alignment horizontal="center"/>
    </xf>
    <xf numFmtId="0" fontId="3" fillId="0" borderId="11" xfId="30" applyFont="1" applyBorder="1"/>
    <xf numFmtId="3" fontId="16" fillId="0" borderId="0" xfId="30" applyNumberFormat="1" applyFont="1"/>
    <xf numFmtId="3" fontId="1" fillId="0" borderId="0" xfId="30" applyNumberFormat="1"/>
    <xf numFmtId="17" fontId="32" fillId="4" borderId="0" xfId="30" quotePrefix="1" applyNumberFormat="1" applyFont="1" applyFill="1" applyBorder="1" applyAlignment="1">
      <alignment horizontal="center"/>
    </xf>
    <xf numFmtId="44" fontId="12" fillId="4" borderId="0" xfId="30" applyNumberFormat="1" applyFont="1" applyFill="1" applyBorder="1" applyAlignment="1">
      <alignment horizontal="center"/>
    </xf>
    <xf numFmtId="0" fontId="32" fillId="4" borderId="0" xfId="30" applyFont="1" applyFill="1"/>
    <xf numFmtId="0" fontId="14" fillId="4" borderId="0" xfId="30" applyFont="1" applyFill="1" applyBorder="1" applyAlignment="1">
      <alignment horizontal="center"/>
    </xf>
    <xf numFmtId="3" fontId="32" fillId="4" borderId="0" xfId="30" applyNumberFormat="1" applyFont="1" applyFill="1" applyBorder="1"/>
    <xf numFmtId="3" fontId="14" fillId="4" borderId="0" xfId="30" applyNumberFormat="1" applyFont="1" applyFill="1"/>
    <xf numFmtId="0" fontId="14" fillId="4" borderId="0" xfId="30" applyFont="1" applyFill="1" applyBorder="1"/>
    <xf numFmtId="0" fontId="12" fillId="4" borderId="0" xfId="30" applyFont="1" applyFill="1" applyBorder="1"/>
    <xf numFmtId="0" fontId="1" fillId="4" borderId="0" xfId="10" applyNumberFormat="1" applyFont="1" applyFill="1" applyBorder="1"/>
    <xf numFmtId="0" fontId="16" fillId="4" borderId="0" xfId="30" applyFont="1" applyFill="1" applyBorder="1"/>
    <xf numFmtId="0" fontId="1" fillId="4" borderId="0" xfId="30" applyFill="1" applyBorder="1" applyAlignment="1">
      <alignment horizontal="center"/>
    </xf>
    <xf numFmtId="188" fontId="16" fillId="4" borderId="0" xfId="30" quotePrefix="1" applyNumberFormat="1" applyFont="1" applyFill="1" applyBorder="1" applyAlignment="1">
      <alignment horizontal="center"/>
    </xf>
    <xf numFmtId="0" fontId="16" fillId="4" borderId="0" xfId="30" applyFont="1" applyFill="1"/>
    <xf numFmtId="0" fontId="1" fillId="4" borderId="0" xfId="30" applyFill="1" applyAlignment="1">
      <alignment horizontal="center"/>
    </xf>
    <xf numFmtId="3" fontId="16" fillId="4" borderId="0" xfId="30" applyNumberFormat="1" applyFont="1" applyFill="1"/>
    <xf numFmtId="3" fontId="1" fillId="4" borderId="0" xfId="30" applyNumberFormat="1" applyFill="1"/>
    <xf numFmtId="0" fontId="1" fillId="4" borderId="0" xfId="30" applyFont="1" applyFill="1" applyBorder="1"/>
    <xf numFmtId="175" fontId="1" fillId="0" borderId="1" xfId="30" applyNumberFormat="1" applyFill="1" applyBorder="1" applyAlignment="1">
      <alignment horizontal="right"/>
    </xf>
    <xf numFmtId="0" fontId="1" fillId="4" borderId="0" xfId="30" applyFont="1" applyFill="1" applyAlignment="1">
      <alignment horizontal="center"/>
    </xf>
    <xf numFmtId="44" fontId="0" fillId="0" borderId="1" xfId="31" applyFont="1" applyFill="1" applyBorder="1"/>
    <xf numFmtId="175" fontId="0" fillId="0" borderId="1" xfId="31" applyNumberFormat="1" applyFont="1" applyFill="1" applyBorder="1"/>
    <xf numFmtId="165" fontId="1" fillId="0" borderId="1" xfId="30" applyNumberFormat="1" applyFill="1" applyBorder="1" applyAlignment="1">
      <alignment horizontal="right"/>
    </xf>
    <xf numFmtId="44" fontId="1" fillId="0" borderId="1" xfId="30" applyNumberFormat="1" applyFill="1" applyBorder="1" applyAlignment="1">
      <alignment horizontal="right"/>
    </xf>
    <xf numFmtId="3" fontId="16" fillId="4" borderId="0" xfId="30" applyNumberFormat="1" applyFont="1" applyFill="1" applyBorder="1"/>
    <xf numFmtId="0" fontId="1" fillId="0" borderId="1" xfId="30" applyFill="1" applyBorder="1" applyAlignment="1">
      <alignment horizontal="center"/>
    </xf>
    <xf numFmtId="176" fontId="1" fillId="0" borderId="0" xfId="30" applyNumberFormat="1"/>
    <xf numFmtId="0" fontId="15" fillId="0" borderId="11" xfId="30" applyFont="1" applyBorder="1"/>
    <xf numFmtId="0" fontId="12" fillId="0" borderId="11" xfId="30" applyFont="1" applyBorder="1"/>
    <xf numFmtId="0" fontId="6" fillId="0" borderId="11" xfId="30" applyFont="1" applyBorder="1"/>
    <xf numFmtId="0" fontId="17" fillId="0" borderId="0" xfId="30" applyFont="1"/>
    <xf numFmtId="3" fontId="3" fillId="0" borderId="0" xfId="30" applyNumberFormat="1" applyFont="1"/>
    <xf numFmtId="0" fontId="15" fillId="0" borderId="0" xfId="30" applyFont="1" applyBorder="1"/>
    <xf numFmtId="44" fontId="1" fillId="0" borderId="1" xfId="30" applyNumberFormat="1" applyBorder="1"/>
    <xf numFmtId="0" fontId="1" fillId="0" borderId="0" xfId="30" applyFont="1" applyAlignment="1">
      <alignment horizontal="center"/>
    </xf>
    <xf numFmtId="0" fontId="3" fillId="0" borderId="1" xfId="30" applyFont="1" applyFill="1" applyBorder="1" applyAlignment="1">
      <alignment horizontal="center"/>
    </xf>
    <xf numFmtId="0" fontId="1" fillId="0" borderId="0" xfId="30" applyBorder="1"/>
    <xf numFmtId="0" fontId="1" fillId="0" borderId="2" xfId="30" applyBorder="1" applyAlignment="1">
      <alignment horizontal="center"/>
    </xf>
    <xf numFmtId="0" fontId="1" fillId="0" borderId="8" xfId="30" applyBorder="1"/>
    <xf numFmtId="0" fontId="14" fillId="0" borderId="8" xfId="30" applyFont="1" applyBorder="1"/>
    <xf numFmtId="0" fontId="15" fillId="0" borderId="0" xfId="30" applyFont="1"/>
    <xf numFmtId="0" fontId="12" fillId="0" borderId="0" xfId="30" applyFont="1"/>
    <xf numFmtId="0" fontId="6" fillId="0" borderId="0" xfId="30" applyFont="1"/>
    <xf numFmtId="184" fontId="1" fillId="0" borderId="0" xfId="30" applyNumberFormat="1"/>
    <xf numFmtId="170" fontId="8" fillId="0" borderId="0" xfId="30" applyNumberFormat="1" applyFont="1"/>
    <xf numFmtId="0" fontId="6" fillId="0" borderId="0" xfId="30" applyFont="1" applyBorder="1"/>
    <xf numFmtId="0" fontId="1" fillId="0" borderId="0" xfId="30" applyBorder="1" applyAlignment="1">
      <alignment horizontal="right"/>
    </xf>
    <xf numFmtId="0" fontId="1" fillId="0" borderId="0" xfId="30" applyAlignment="1">
      <alignment horizontal="right"/>
    </xf>
    <xf numFmtId="0" fontId="13" fillId="0" borderId="0" xfId="30" applyFont="1"/>
    <xf numFmtId="0" fontId="12" fillId="0" borderId="0" xfId="30" applyFont="1" applyAlignment="1">
      <alignment horizontal="left"/>
    </xf>
    <xf numFmtId="14" fontId="1" fillId="0" borderId="0" xfId="30" applyNumberFormat="1"/>
    <xf numFmtId="168" fontId="15" fillId="0" borderId="0" xfId="30" applyNumberFormat="1" applyFont="1" applyAlignment="1">
      <alignment horizontal="left"/>
    </xf>
    <xf numFmtId="44" fontId="18" fillId="0" borderId="0" xfId="30" applyNumberFormat="1" applyFont="1" applyAlignment="1">
      <alignment horizontal="center"/>
    </xf>
    <xf numFmtId="176" fontId="8" fillId="0" borderId="0" xfId="0" quotePrefix="1" applyNumberFormat="1" applyFont="1" applyFill="1"/>
    <xf numFmtId="0" fontId="3" fillId="0" borderId="1" xfId="30" applyFont="1" applyBorder="1" applyAlignment="1">
      <alignment horizontal="center"/>
    </xf>
    <xf numFmtId="0" fontId="14" fillId="0" borderId="11" xfId="30" applyFont="1" applyBorder="1"/>
    <xf numFmtId="0" fontId="16" fillId="0" borderId="0" xfId="30" applyFont="1" applyAlignment="1">
      <alignment vertical="center" wrapText="1"/>
    </xf>
    <xf numFmtId="0" fontId="17" fillId="0" borderId="0" xfId="30" applyFont="1" applyAlignment="1">
      <alignment vertical="center" wrapText="1"/>
    </xf>
    <xf numFmtId="0" fontId="52" fillId="0" borderId="0" xfId="30" applyFont="1" applyAlignment="1">
      <alignment vertical="center"/>
    </xf>
    <xf numFmtId="0" fontId="17" fillId="4" borderId="0" xfId="30" applyFont="1" applyFill="1" applyAlignment="1">
      <alignment vertical="center" wrapText="1"/>
    </xf>
    <xf numFmtId="0" fontId="16" fillId="4" borderId="0" xfId="30" applyFont="1" applyFill="1" applyAlignment="1">
      <alignment vertical="center" wrapText="1"/>
    </xf>
    <xf numFmtId="0" fontId="9" fillId="0" borderId="0" xfId="0" applyFont="1" applyFill="1" applyAlignment="1">
      <alignment horizontal="left"/>
    </xf>
    <xf numFmtId="3" fontId="47" fillId="0" borderId="1" xfId="0" applyNumberFormat="1" applyFont="1" applyBorder="1" applyProtection="1">
      <protection locked="0"/>
    </xf>
    <xf numFmtId="0" fontId="3" fillId="0" borderId="0" xfId="0" applyFont="1" applyBorder="1" applyAlignment="1">
      <alignment horizontal="center"/>
    </xf>
    <xf numFmtId="175" fontId="1" fillId="0" borderId="0" xfId="10" applyNumberFormat="1" applyFill="1" applyBorder="1"/>
    <xf numFmtId="173" fontId="1" fillId="0" borderId="0" xfId="10" applyNumberFormat="1" applyFill="1" applyBorder="1"/>
    <xf numFmtId="171" fontId="1" fillId="0" borderId="0" xfId="21" applyNumberFormat="1" applyFont="1" applyFill="1" applyBorder="1" applyAlignment="1">
      <alignment horizontal="right"/>
    </xf>
    <xf numFmtId="165" fontId="2" fillId="0" borderId="0" xfId="0" applyNumberFormat="1" applyFont="1" applyBorder="1" applyAlignment="1">
      <alignment horizontal="center"/>
    </xf>
    <xf numFmtId="171" fontId="2" fillId="0" borderId="0" xfId="21" applyNumberFormat="1" applyFont="1" applyBorder="1" applyAlignment="1">
      <alignment horizontal="center"/>
    </xf>
    <xf numFmtId="0" fontId="43" fillId="0" borderId="0" xfId="0" applyFont="1" applyBorder="1" applyAlignment="1">
      <alignment horizontal="center"/>
    </xf>
    <xf numFmtId="0" fontId="43" fillId="0" borderId="0" xfId="0" applyFont="1" applyFill="1" applyBorder="1" applyAlignment="1">
      <alignment horizontal="center"/>
    </xf>
    <xf numFmtId="14" fontId="0" fillId="0" borderId="0" xfId="0" applyNumberFormat="1" applyBorder="1"/>
    <xf numFmtId="0" fontId="0" fillId="0" borderId="0" xfId="0" applyFill="1" applyBorder="1" applyAlignment="1">
      <alignment horizontal="center" vertical="center"/>
    </xf>
    <xf numFmtId="175" fontId="0" fillId="0" borderId="0" xfId="10" applyNumberFormat="1" applyFont="1" applyFill="1" applyBorder="1" applyAlignment="1">
      <alignment horizontal="center" vertical="center"/>
    </xf>
    <xf numFmtId="175" fontId="0" fillId="0" borderId="0" xfId="0" applyNumberFormat="1" applyFill="1" applyBorder="1" applyAlignment="1">
      <alignment horizontal="center" vertical="center"/>
    </xf>
    <xf numFmtId="14" fontId="0" fillId="0" borderId="0" xfId="0" applyNumberFormat="1" applyFill="1" applyBorder="1" applyAlignment="1">
      <alignment horizontal="center" vertical="center"/>
    </xf>
    <xf numFmtId="0" fontId="2" fillId="0" borderId="0" xfId="0" applyFont="1" applyBorder="1"/>
    <xf numFmtId="44" fontId="1" fillId="0" borderId="0" xfId="10" applyNumberFormat="1" applyFill="1" applyBorder="1"/>
    <xf numFmtId="0" fontId="9" fillId="0" borderId="0" xfId="0" applyFont="1" applyBorder="1" applyAlignment="1">
      <alignment horizontal="center"/>
    </xf>
    <xf numFmtId="165" fontId="1" fillId="0" borderId="0" xfId="21" applyNumberFormat="1" applyFill="1" applyBorder="1"/>
    <xf numFmtId="44" fontId="0" fillId="0" borderId="0" xfId="10" applyFont="1" applyFill="1" applyBorder="1"/>
    <xf numFmtId="175" fontId="1" fillId="0" borderId="0" xfId="10" applyNumberFormat="1" applyBorder="1"/>
    <xf numFmtId="187" fontId="6" fillId="0" borderId="0" xfId="10" applyNumberFormat="1" applyFont="1" applyBorder="1" applyAlignment="1">
      <alignment horizontal="center"/>
    </xf>
    <xf numFmtId="165" fontId="0" fillId="0" borderId="0" xfId="21" applyNumberFormat="1" applyFont="1" applyBorder="1"/>
    <xf numFmtId="44" fontId="0" fillId="0" borderId="0" xfId="10" applyFont="1" applyBorder="1"/>
    <xf numFmtId="175" fontId="1" fillId="0" borderId="0" xfId="31" applyNumberFormat="1" applyFill="1" applyBorder="1"/>
    <xf numFmtId="175" fontId="1" fillId="0" borderId="0" xfId="31" applyNumberFormat="1" applyFont="1" applyFill="1" applyBorder="1"/>
    <xf numFmtId="175" fontId="42" fillId="0" borderId="0" xfId="10" applyNumberFormat="1" applyFont="1" applyFill="1" applyBorder="1"/>
    <xf numFmtId="7" fontId="2" fillId="0" borderId="0" xfId="0" applyNumberFormat="1" applyFont="1" applyBorder="1" applyAlignment="1">
      <alignment horizontal="center"/>
    </xf>
    <xf numFmtId="175" fontId="2" fillId="0" borderId="0" xfId="10" applyNumberFormat="1" applyFont="1" applyFill="1" applyBorder="1" applyAlignment="1">
      <alignment horizontal="center" vertical="center"/>
    </xf>
    <xf numFmtId="174" fontId="0" fillId="0" borderId="0" xfId="0" applyNumberFormat="1" applyFill="1" applyBorder="1" applyAlignment="1">
      <alignment horizontal="center" vertical="center"/>
    </xf>
    <xf numFmtId="168" fontId="15" fillId="0" borderId="0" xfId="0" applyNumberFormat="1" applyFont="1" applyAlignment="1">
      <alignment horizontal="left"/>
    </xf>
    <xf numFmtId="0" fontId="3" fillId="0" borderId="1" xfId="0" applyFont="1" applyBorder="1" applyAlignment="1">
      <alignment horizontal="center"/>
    </xf>
    <xf numFmtId="165" fontId="1" fillId="0" borderId="0" xfId="21" applyNumberFormat="1" applyFont="1" applyFill="1" applyBorder="1"/>
    <xf numFmtId="14" fontId="1" fillId="0" borderId="0" xfId="0" applyNumberFormat="1" applyFont="1" applyFill="1" applyBorder="1"/>
    <xf numFmtId="165" fontId="2" fillId="0" borderId="0" xfId="21" applyNumberFormat="1" applyFont="1" applyFill="1" applyBorder="1" applyAlignment="1">
      <alignment horizontal="center"/>
    </xf>
    <xf numFmtId="175" fontId="2" fillId="0" borderId="1" xfId="10" applyNumberFormat="1" applyFont="1" applyFill="1" applyBorder="1" applyAlignment="1">
      <alignment horizontal="center"/>
    </xf>
    <xf numFmtId="165" fontId="42" fillId="0" borderId="1" xfId="22" applyNumberFormat="1" applyFill="1" applyBorder="1"/>
    <xf numFmtId="0" fontId="7" fillId="2" borderId="0" xfId="0" applyFont="1" applyFill="1" applyAlignment="1">
      <alignment horizontal="center"/>
    </xf>
    <xf numFmtId="0" fontId="22" fillId="2" borderId="0" xfId="0" applyFont="1" applyFill="1" applyAlignment="1">
      <alignment vertical="center" wrapText="1"/>
    </xf>
    <xf numFmtId="0" fontId="26" fillId="2" borderId="0" xfId="0" applyFont="1" applyFill="1" applyAlignment="1">
      <alignment horizontal="center"/>
    </xf>
    <xf numFmtId="0" fontId="27" fillId="2" borderId="0" xfId="0" applyFont="1" applyFill="1" applyAlignment="1">
      <alignment horizontal="center"/>
    </xf>
    <xf numFmtId="0" fontId="3" fillId="2" borderId="0" xfId="0" applyFont="1" applyFill="1" applyAlignment="1">
      <alignment horizontal="center"/>
    </xf>
    <xf numFmtId="0" fontId="0" fillId="2" borderId="0" xfId="0" applyFill="1" applyAlignment="1">
      <alignment horizontal="center"/>
    </xf>
    <xf numFmtId="0" fontId="8" fillId="2" borderId="0" xfId="0" applyFont="1" applyFill="1"/>
    <xf numFmtId="0" fontId="6" fillId="0" borderId="14"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44" fontId="33" fillId="0" borderId="14" xfId="10" applyFont="1" applyFill="1" applyBorder="1" applyProtection="1">
      <protection locked="0"/>
    </xf>
    <xf numFmtId="44" fontId="33" fillId="0" borderId="13" xfId="10" applyFont="1" applyFill="1" applyBorder="1" applyProtection="1">
      <protection locked="0"/>
    </xf>
    <xf numFmtId="44" fontId="33" fillId="0" borderId="15" xfId="10" applyFont="1" applyFill="1" applyBorder="1" applyProtection="1">
      <protection locked="0"/>
    </xf>
    <xf numFmtId="0" fontId="6" fillId="0" borderId="13" xfId="0" applyFont="1" applyFill="1" applyBorder="1" applyAlignment="1" applyProtection="1">
      <alignment horizontal="left"/>
      <protection locked="0"/>
    </xf>
    <xf numFmtId="0" fontId="24" fillId="0" borderId="0" xfId="0" applyFont="1" applyAlignment="1">
      <alignment vertical="center" wrapText="1"/>
    </xf>
    <xf numFmtId="0" fontId="6" fillId="0" borderId="0" xfId="0" applyFont="1" applyBorder="1" applyAlignment="1">
      <alignment horizontal="center"/>
    </xf>
    <xf numFmtId="0" fontId="10" fillId="4" borderId="0" xfId="0" applyFont="1" applyFill="1" applyAlignment="1">
      <alignment horizontal="center"/>
    </xf>
    <xf numFmtId="44" fontId="29" fillId="0" borderId="0" xfId="0" applyNumberFormat="1" applyFont="1" applyAlignment="1">
      <alignment horizontal="center"/>
    </xf>
    <xf numFmtId="0" fontId="3" fillId="4" borderId="14" xfId="0" applyFont="1" applyFill="1" applyBorder="1" applyAlignment="1">
      <alignment horizontal="center"/>
    </xf>
    <xf numFmtId="0" fontId="0" fillId="0" borderId="13" xfId="0" applyBorder="1"/>
    <xf numFmtId="0" fontId="0" fillId="0" borderId="15" xfId="0" applyBorder="1"/>
    <xf numFmtId="0" fontId="0" fillId="4" borderId="14" xfId="0" applyFill="1" applyBorder="1" applyAlignment="1">
      <alignment horizontal="center"/>
    </xf>
    <xf numFmtId="0" fontId="0" fillId="4" borderId="13" xfId="0" applyFill="1" applyBorder="1" applyAlignment="1">
      <alignment horizontal="center"/>
    </xf>
    <xf numFmtId="0" fontId="0" fillId="4" borderId="15" xfId="0" applyFill="1" applyBorder="1" applyAlignment="1">
      <alignment horizontal="center"/>
    </xf>
    <xf numFmtId="168" fontId="15" fillId="0" borderId="0" xfId="0" applyNumberFormat="1" applyFont="1" applyAlignment="1">
      <alignment horizontal="left"/>
    </xf>
    <xf numFmtId="0" fontId="11" fillId="0" borderId="0" xfId="0" applyFont="1" applyAlignment="1">
      <alignment horizontal="center" vertical="center"/>
    </xf>
    <xf numFmtId="0" fontId="14" fillId="0" borderId="11" xfId="0" applyFont="1" applyBorder="1"/>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1"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35" fillId="0" borderId="0" xfId="0" applyFont="1" applyBorder="1" applyAlignment="1">
      <alignment horizontal="center"/>
    </xf>
    <xf numFmtId="168" fontId="15" fillId="0" borderId="0" xfId="0" applyNumberFormat="1" applyFont="1" applyAlignment="1">
      <alignment horizontal="center"/>
    </xf>
    <xf numFmtId="0" fontId="15" fillId="4" borderId="0" xfId="0" applyFont="1" applyFill="1" applyBorder="1"/>
    <xf numFmtId="0" fontId="10" fillId="4" borderId="0" xfId="30" applyFont="1" applyFill="1" applyAlignment="1">
      <alignment horizontal="center"/>
    </xf>
    <xf numFmtId="0" fontId="35" fillId="0" borderId="0" xfId="30" applyFont="1" applyBorder="1" applyAlignment="1">
      <alignment horizontal="center"/>
    </xf>
    <xf numFmtId="0" fontId="8" fillId="0" borderId="0" xfId="30" applyFont="1" applyAlignment="1">
      <alignment vertical="center" wrapText="1"/>
    </xf>
    <xf numFmtId="0" fontId="15" fillId="4" borderId="0" xfId="30" applyFont="1" applyFill="1" applyBorder="1"/>
    <xf numFmtId="0" fontId="1" fillId="0" borderId="14" xfId="30" applyBorder="1" applyAlignment="1">
      <alignment horizontal="center"/>
    </xf>
    <xf numFmtId="0" fontId="1" fillId="0" borderId="13" xfId="30" applyBorder="1" applyAlignment="1">
      <alignment horizontal="center"/>
    </xf>
    <xf numFmtId="0" fontId="1" fillId="0" borderId="15" xfId="30" applyBorder="1" applyAlignment="1">
      <alignment horizontal="center"/>
    </xf>
    <xf numFmtId="0" fontId="10" fillId="0" borderId="0" xfId="30" applyFont="1" applyAlignment="1">
      <alignment horizontal="center"/>
    </xf>
    <xf numFmtId="0" fontId="11" fillId="0" borderId="0" xfId="30" applyFont="1" applyAlignment="1">
      <alignment horizontal="center"/>
    </xf>
    <xf numFmtId="44" fontId="29" fillId="0" borderId="0" xfId="30" applyNumberFormat="1" applyFont="1" applyAlignment="1">
      <alignment horizontal="center"/>
    </xf>
    <xf numFmtId="0" fontId="3" fillId="0" borderId="1" xfId="30" applyFont="1" applyBorder="1" applyAlignment="1">
      <alignment horizontal="center"/>
    </xf>
    <xf numFmtId="0" fontId="14" fillId="0" borderId="11" xfId="30" applyFont="1" applyBorder="1"/>
    <xf numFmtId="0" fontId="2" fillId="0" borderId="0" xfId="0" applyFont="1" applyBorder="1" applyAlignment="1">
      <alignment horizontal="center"/>
    </xf>
    <xf numFmtId="0" fontId="0" fillId="0" borderId="0" xfId="0" applyBorder="1" applyAlignment="1">
      <alignment horizontal="center"/>
    </xf>
    <xf numFmtId="0" fontId="8" fillId="0" borderId="0" xfId="0" applyFont="1" applyBorder="1" applyAlignment="1">
      <alignment vertical="center"/>
    </xf>
    <xf numFmtId="0" fontId="0" fillId="3" borderId="12"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center"/>
    </xf>
    <xf numFmtId="0" fontId="19" fillId="3" borderId="16" xfId="0" applyFont="1" applyFill="1" applyBorder="1" applyAlignment="1" applyProtection="1">
      <alignment horizontal="center"/>
      <protection locked="0"/>
    </xf>
    <xf numFmtId="0" fontId="19" fillId="3" borderId="17" xfId="0" applyFont="1" applyFill="1" applyBorder="1" applyAlignment="1" applyProtection="1">
      <alignment horizontal="center"/>
      <protection locked="0"/>
    </xf>
    <xf numFmtId="0" fontId="19" fillId="3" borderId="10" xfId="0" applyFont="1" applyFill="1" applyBorder="1" applyAlignment="1" applyProtection="1">
      <alignment horizontal="center"/>
      <protection locked="0"/>
    </xf>
  </cellXfs>
  <cellStyles count="32">
    <cellStyle name="Comma" xfId="1" builtinId="3"/>
    <cellStyle name="Comma 2" xfId="2" xr:uid="{00000000-0005-0000-0000-000001000000}"/>
    <cellStyle name="Comma 2 2" xfId="3" xr:uid="{00000000-0005-0000-0000-000002000000}"/>
    <cellStyle name="Comma 2 3" xfId="4" xr:uid="{00000000-0005-0000-0000-000003000000}"/>
    <cellStyle name="Comma 2 4" xfId="5" xr:uid="{00000000-0005-0000-0000-000004000000}"/>
    <cellStyle name="Comma 3" xfId="6" xr:uid="{00000000-0005-0000-0000-000005000000}"/>
    <cellStyle name="Comma 4" xfId="7" xr:uid="{00000000-0005-0000-0000-000006000000}"/>
    <cellStyle name="Comma 4 2" xfId="8" xr:uid="{00000000-0005-0000-0000-000007000000}"/>
    <cellStyle name="Comma 5" xfId="9" xr:uid="{00000000-0005-0000-0000-000008000000}"/>
    <cellStyle name="Currency" xfId="10" builtinId="4"/>
    <cellStyle name="Currency 2" xfId="11" xr:uid="{00000000-0005-0000-0000-00000A000000}"/>
    <cellStyle name="Currency 2 2" xfId="12" xr:uid="{00000000-0005-0000-0000-00000B000000}"/>
    <cellStyle name="Currency 2 2 2" xfId="31" xr:uid="{00000000-0005-0000-0000-00000C000000}"/>
    <cellStyle name="Currency 2 3" xfId="13" xr:uid="{00000000-0005-0000-0000-00000D000000}"/>
    <cellStyle name="Currency 2 4" xfId="14" xr:uid="{00000000-0005-0000-0000-00000E000000}"/>
    <cellStyle name="Currency 3" xfId="15" xr:uid="{00000000-0005-0000-0000-00000F000000}"/>
    <cellStyle name="Currency 4" xfId="16" xr:uid="{00000000-0005-0000-0000-000010000000}"/>
    <cellStyle name="Currency 4 2" xfId="17" xr:uid="{00000000-0005-0000-0000-000011000000}"/>
    <cellStyle name="Currency 5" xfId="18" xr:uid="{00000000-0005-0000-0000-000012000000}"/>
    <cellStyle name="Hyperlink" xfId="19" builtinId="8"/>
    <cellStyle name="Normal" xfId="0" builtinId="0"/>
    <cellStyle name="Normal 2" xfId="20" xr:uid="{00000000-0005-0000-0000-000015000000}"/>
    <cellStyle name="Normal 3" xfId="30" xr:uid="{00000000-0005-0000-0000-000016000000}"/>
    <cellStyle name="Percent" xfId="21" builtinId="5"/>
    <cellStyle name="Percent 2" xfId="22" xr:uid="{00000000-0005-0000-0000-000018000000}"/>
    <cellStyle name="Percent 2 2" xfId="23" xr:uid="{00000000-0005-0000-0000-000019000000}"/>
    <cellStyle name="Percent 2 3" xfId="24" xr:uid="{00000000-0005-0000-0000-00001A000000}"/>
    <cellStyle name="Percent 2 4" xfId="25" xr:uid="{00000000-0005-0000-0000-00001B000000}"/>
    <cellStyle name="Percent 3" xfId="26" xr:uid="{00000000-0005-0000-0000-00001C000000}"/>
    <cellStyle name="Percent 4" xfId="27" xr:uid="{00000000-0005-0000-0000-00001D000000}"/>
    <cellStyle name="Percent 4 2" xfId="28" xr:uid="{00000000-0005-0000-0000-00001E000000}"/>
    <cellStyle name="Percent 5" xfId="29"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fmlaLink="C32" lockText="1" noThreeD="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fmlaLink="$C$33" lockText="1" noThreeD="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fmlaLink="$C$34" lockText="1" noThreeD="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lockText="1"/>
</file>

<file path=xl/ctrlProps/ctrlProp351.xml><?xml version="1.0" encoding="utf-8"?>
<formControlPr xmlns="http://schemas.microsoft.com/office/spreadsheetml/2009/9/main" objectType="Button" lockText="1"/>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lockText="1"/>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lockText="1"/>
</file>

<file path=xl/ctrlProps/ctrlProp361.xml><?xml version="1.0" encoding="utf-8"?>
<formControlPr xmlns="http://schemas.microsoft.com/office/spreadsheetml/2009/9/main" objectType="Button" lockText="1"/>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lockText="1"/>
</file>

<file path=xl/ctrlProps/ctrlProp366.xml><?xml version="1.0" encoding="utf-8"?>
<formControlPr xmlns="http://schemas.microsoft.com/office/spreadsheetml/2009/9/main" objectType="Button" lockText="1"/>
</file>

<file path=xl/ctrlProps/ctrlProp367.xml><?xml version="1.0" encoding="utf-8"?>
<formControlPr xmlns="http://schemas.microsoft.com/office/spreadsheetml/2009/9/main" objectType="Button" lockText="1"/>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lockText="1"/>
</file>

<file path=xl/ctrlProps/ctrlProp378.xml><?xml version="1.0" encoding="utf-8"?>
<formControlPr xmlns="http://schemas.microsoft.com/office/spreadsheetml/2009/9/main" objectType="Button" lockText="1"/>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lockText="1"/>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lockText="1"/>
</file>

<file path=xl/ctrlProps/ctrlProp398.xml><?xml version="1.0" encoding="utf-8"?>
<formControlPr xmlns="http://schemas.microsoft.com/office/spreadsheetml/2009/9/main" objectType="Button" lockText="1"/>
</file>

<file path=xl/ctrlProps/ctrlProp399.xml><?xml version="1.0" encoding="utf-8"?>
<formControlPr xmlns="http://schemas.microsoft.com/office/spreadsheetml/2009/9/main" objectType="Button" lockText="1"/>
</file>

<file path=xl/ctrlProps/ctrlProp4.xml><?xml version="1.0" encoding="utf-8"?>
<formControlPr xmlns="http://schemas.microsoft.com/office/spreadsheetml/2009/9/main" objectType="Radio" checked="Checked" firstButton="1" fmlaLink="E16" lockText="1" noThreeD="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05.xml><?xml version="1.0" encoding="utf-8"?>
<formControlPr xmlns="http://schemas.microsoft.com/office/spreadsheetml/2009/9/main" objectType="Button" lockText="1"/>
</file>

<file path=xl/ctrlProps/ctrlProp406.xml><?xml version="1.0" encoding="utf-8"?>
<formControlPr xmlns="http://schemas.microsoft.com/office/spreadsheetml/2009/9/main" objectType="Button" lockText="1"/>
</file>

<file path=xl/ctrlProps/ctrlProp407.xml><?xml version="1.0" encoding="utf-8"?>
<formControlPr xmlns="http://schemas.microsoft.com/office/spreadsheetml/2009/9/main" objectType="Button" lockText="1"/>
</file>

<file path=xl/ctrlProps/ctrlProp408.xml><?xml version="1.0" encoding="utf-8"?>
<formControlPr xmlns="http://schemas.microsoft.com/office/spreadsheetml/2009/9/main" objectType="Button" lockText="1"/>
</file>

<file path=xl/ctrlProps/ctrlProp409.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lockText="1"/>
</file>

<file path=xl/ctrlProps/ctrlProp411.xml><?xml version="1.0" encoding="utf-8"?>
<formControlPr xmlns="http://schemas.microsoft.com/office/spreadsheetml/2009/9/main" objectType="Button" lockText="1"/>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lockText="1"/>
</file>

<file path=xl/ctrlProps/ctrlProp418.xml><?xml version="1.0" encoding="utf-8"?>
<formControlPr xmlns="http://schemas.microsoft.com/office/spreadsheetml/2009/9/main" objectType="Button" lockText="1"/>
</file>

<file path=xl/ctrlProps/ctrlProp419.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lockText="1"/>
</file>

<file path=xl/ctrlProps/ctrlProp421.xml><?xml version="1.0" encoding="utf-8"?>
<formControlPr xmlns="http://schemas.microsoft.com/office/spreadsheetml/2009/9/main" objectType="Button" lockText="1"/>
</file>

<file path=xl/ctrlProps/ctrlProp422.xml><?xml version="1.0" encoding="utf-8"?>
<formControlPr xmlns="http://schemas.microsoft.com/office/spreadsheetml/2009/9/main" objectType="Button" lockText="1"/>
</file>

<file path=xl/ctrlProps/ctrlProp423.xml><?xml version="1.0" encoding="utf-8"?>
<formControlPr xmlns="http://schemas.microsoft.com/office/spreadsheetml/2009/9/main" objectType="Button" lockText="1"/>
</file>

<file path=xl/ctrlProps/ctrlProp424.xml><?xml version="1.0" encoding="utf-8"?>
<formControlPr xmlns="http://schemas.microsoft.com/office/spreadsheetml/2009/9/main" objectType="Button" lockText="1"/>
</file>

<file path=xl/ctrlProps/ctrlProp425.xml><?xml version="1.0" encoding="utf-8"?>
<formControlPr xmlns="http://schemas.microsoft.com/office/spreadsheetml/2009/9/main" objectType="Button" lockText="1"/>
</file>

<file path=xl/ctrlProps/ctrlProp426.xml><?xml version="1.0" encoding="utf-8"?>
<formControlPr xmlns="http://schemas.microsoft.com/office/spreadsheetml/2009/9/main" objectType="Button" lockText="1"/>
</file>

<file path=xl/ctrlProps/ctrlProp427.xml><?xml version="1.0" encoding="utf-8"?>
<formControlPr xmlns="http://schemas.microsoft.com/office/spreadsheetml/2009/9/main" objectType="Button" lockText="1"/>
</file>

<file path=xl/ctrlProps/ctrlProp428.xml><?xml version="1.0" encoding="utf-8"?>
<formControlPr xmlns="http://schemas.microsoft.com/office/spreadsheetml/2009/9/main" objectType="Button" lockText="1"/>
</file>

<file path=xl/ctrlProps/ctrlProp429.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lockText="1"/>
</file>

<file path=xl/ctrlProps/ctrlProp431.xml><?xml version="1.0" encoding="utf-8"?>
<formControlPr xmlns="http://schemas.microsoft.com/office/spreadsheetml/2009/9/main" objectType="Button" lockText="1"/>
</file>

<file path=xl/ctrlProps/ctrlProp432.xml><?xml version="1.0" encoding="utf-8"?>
<formControlPr xmlns="http://schemas.microsoft.com/office/spreadsheetml/2009/9/main" objectType="Button" lockText="1"/>
</file>

<file path=xl/ctrlProps/ctrlProp433.xml><?xml version="1.0" encoding="utf-8"?>
<formControlPr xmlns="http://schemas.microsoft.com/office/spreadsheetml/2009/9/main" objectType="Button" lockText="1"/>
</file>

<file path=xl/ctrlProps/ctrlProp434.xml><?xml version="1.0" encoding="utf-8"?>
<formControlPr xmlns="http://schemas.microsoft.com/office/spreadsheetml/2009/9/main" objectType="Button" lockText="1"/>
</file>

<file path=xl/ctrlProps/ctrlProp435.xml><?xml version="1.0" encoding="utf-8"?>
<formControlPr xmlns="http://schemas.microsoft.com/office/spreadsheetml/2009/9/main" objectType="Button" lockText="1"/>
</file>

<file path=xl/ctrlProps/ctrlProp436.xml><?xml version="1.0" encoding="utf-8"?>
<formControlPr xmlns="http://schemas.microsoft.com/office/spreadsheetml/2009/9/main" objectType="Button" lockText="1"/>
</file>

<file path=xl/ctrlProps/ctrlProp437.xml><?xml version="1.0" encoding="utf-8"?>
<formControlPr xmlns="http://schemas.microsoft.com/office/spreadsheetml/2009/9/main" objectType="Button" lockText="1"/>
</file>

<file path=xl/ctrlProps/ctrlProp438.xml><?xml version="1.0" encoding="utf-8"?>
<formControlPr xmlns="http://schemas.microsoft.com/office/spreadsheetml/2009/9/main" objectType="Button" lockText="1"/>
</file>

<file path=xl/ctrlProps/ctrlProp439.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lockText="1"/>
</file>

<file path=xl/ctrlProps/ctrlProp441.xml><?xml version="1.0" encoding="utf-8"?>
<formControlPr xmlns="http://schemas.microsoft.com/office/spreadsheetml/2009/9/main" objectType="Button" lockText="1"/>
</file>

<file path=xl/ctrlProps/ctrlProp442.xml><?xml version="1.0" encoding="utf-8"?>
<formControlPr xmlns="http://schemas.microsoft.com/office/spreadsheetml/2009/9/main" objectType="Button" lockText="1"/>
</file>

<file path=xl/ctrlProps/ctrlProp443.xml><?xml version="1.0" encoding="utf-8"?>
<formControlPr xmlns="http://schemas.microsoft.com/office/spreadsheetml/2009/9/main" objectType="Button" lockText="1"/>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48.xml><?xml version="1.0" encoding="utf-8"?>
<formControlPr xmlns="http://schemas.microsoft.com/office/spreadsheetml/2009/9/main" objectType="Button" lockText="1"/>
</file>

<file path=xl/ctrlProps/ctrlProp449.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50.xml><?xml version="1.0" encoding="utf-8"?>
<formControlPr xmlns="http://schemas.microsoft.com/office/spreadsheetml/2009/9/main" objectType="Button" lockText="1"/>
</file>

<file path=xl/ctrlProps/ctrlProp451.xml><?xml version="1.0" encoding="utf-8"?>
<formControlPr xmlns="http://schemas.microsoft.com/office/spreadsheetml/2009/9/main" objectType="Button" lockText="1"/>
</file>

<file path=xl/ctrlProps/ctrlProp452.xml><?xml version="1.0" encoding="utf-8"?>
<formControlPr xmlns="http://schemas.microsoft.com/office/spreadsheetml/2009/9/main" objectType="Button" lockText="1"/>
</file>

<file path=xl/ctrlProps/ctrlProp453.xml><?xml version="1.0" encoding="utf-8"?>
<formControlPr xmlns="http://schemas.microsoft.com/office/spreadsheetml/2009/9/main" objectType="Button" lockText="1"/>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lockText="1"/>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lockText="1"/>
</file>

<file path=xl/ctrlProps/ctrlProp462.xml><?xml version="1.0" encoding="utf-8"?>
<formControlPr xmlns="http://schemas.microsoft.com/office/spreadsheetml/2009/9/main" objectType="Button" lockText="1"/>
</file>

<file path=xl/ctrlProps/ctrlProp463.xml><?xml version="1.0" encoding="utf-8"?>
<formControlPr xmlns="http://schemas.microsoft.com/office/spreadsheetml/2009/9/main" objectType="Button" lockText="1"/>
</file>

<file path=xl/ctrlProps/ctrlProp464.xml><?xml version="1.0" encoding="utf-8"?>
<formControlPr xmlns="http://schemas.microsoft.com/office/spreadsheetml/2009/9/main" objectType="Button" lockText="1"/>
</file>

<file path=xl/ctrlProps/ctrlProp465.xml><?xml version="1.0" encoding="utf-8"?>
<formControlPr xmlns="http://schemas.microsoft.com/office/spreadsheetml/2009/9/main" objectType="Button" lockText="1"/>
</file>

<file path=xl/ctrlProps/ctrlProp466.xml><?xml version="1.0" encoding="utf-8"?>
<formControlPr xmlns="http://schemas.microsoft.com/office/spreadsheetml/2009/9/main" objectType="Button" lockText="1"/>
</file>

<file path=xl/ctrlProps/ctrlProp467.xml><?xml version="1.0" encoding="utf-8"?>
<formControlPr xmlns="http://schemas.microsoft.com/office/spreadsheetml/2009/9/main" objectType="Button" lockText="1"/>
</file>

<file path=xl/ctrlProps/ctrlProp468.xml><?xml version="1.0" encoding="utf-8"?>
<formControlPr xmlns="http://schemas.microsoft.com/office/spreadsheetml/2009/9/main" objectType="Button" lockText="1"/>
</file>

<file path=xl/ctrlProps/ctrlProp469.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70.xml><?xml version="1.0" encoding="utf-8"?>
<formControlPr xmlns="http://schemas.microsoft.com/office/spreadsheetml/2009/9/main" objectType="Button" lockText="1"/>
</file>

<file path=xl/ctrlProps/ctrlProp471.xml><?xml version="1.0" encoding="utf-8"?>
<formControlPr xmlns="http://schemas.microsoft.com/office/spreadsheetml/2009/9/main" objectType="Button" lockText="1"/>
</file>

<file path=xl/ctrlProps/ctrlProp472.xml><?xml version="1.0" encoding="utf-8"?>
<formControlPr xmlns="http://schemas.microsoft.com/office/spreadsheetml/2009/9/main" objectType="Button" lockText="1"/>
</file>

<file path=xl/ctrlProps/ctrlProp473.xml><?xml version="1.0" encoding="utf-8"?>
<formControlPr xmlns="http://schemas.microsoft.com/office/spreadsheetml/2009/9/main" objectType="Button" lockText="1"/>
</file>

<file path=xl/ctrlProps/ctrlProp474.xml><?xml version="1.0" encoding="utf-8"?>
<formControlPr xmlns="http://schemas.microsoft.com/office/spreadsheetml/2009/9/main" objectType="Button" lockText="1"/>
</file>

<file path=xl/ctrlProps/ctrlProp475.xml><?xml version="1.0" encoding="utf-8"?>
<formControlPr xmlns="http://schemas.microsoft.com/office/spreadsheetml/2009/9/main" objectType="Button" lockText="1"/>
</file>

<file path=xl/ctrlProps/ctrlProp476.xml><?xml version="1.0" encoding="utf-8"?>
<formControlPr xmlns="http://schemas.microsoft.com/office/spreadsheetml/2009/9/main" objectType="Button" lockText="1"/>
</file>

<file path=xl/ctrlProps/ctrlProp477.xml><?xml version="1.0" encoding="utf-8"?>
<formControlPr xmlns="http://schemas.microsoft.com/office/spreadsheetml/2009/9/main" objectType="Button" lockText="1"/>
</file>

<file path=xl/ctrlProps/ctrlProp478.xml><?xml version="1.0" encoding="utf-8"?>
<formControlPr xmlns="http://schemas.microsoft.com/office/spreadsheetml/2009/9/main" objectType="Button" lockText="1"/>
</file>

<file path=xl/ctrlProps/ctrlProp479.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80.xml><?xml version="1.0" encoding="utf-8"?>
<formControlPr xmlns="http://schemas.microsoft.com/office/spreadsheetml/2009/9/main" objectType="Button" lockText="1"/>
</file>

<file path=xl/ctrlProps/ctrlProp481.xml><?xml version="1.0" encoding="utf-8"?>
<formControlPr xmlns="http://schemas.microsoft.com/office/spreadsheetml/2009/9/main" objectType="Button" lockText="1"/>
</file>

<file path=xl/ctrlProps/ctrlProp482.xml><?xml version="1.0" encoding="utf-8"?>
<formControlPr xmlns="http://schemas.microsoft.com/office/spreadsheetml/2009/9/main" objectType="Button" lockText="1"/>
</file>

<file path=xl/ctrlProps/ctrlProp483.xml><?xml version="1.0" encoding="utf-8"?>
<formControlPr xmlns="http://schemas.microsoft.com/office/spreadsheetml/2009/9/main" objectType="Button" lockText="1"/>
</file>

<file path=xl/ctrlProps/ctrlProp484.xml><?xml version="1.0" encoding="utf-8"?>
<formControlPr xmlns="http://schemas.microsoft.com/office/spreadsheetml/2009/9/main" objectType="Button" lockText="1"/>
</file>

<file path=xl/ctrlProps/ctrlProp485.xml><?xml version="1.0" encoding="utf-8"?>
<formControlPr xmlns="http://schemas.microsoft.com/office/spreadsheetml/2009/9/main" objectType="Button" lockText="1"/>
</file>

<file path=xl/ctrlProps/ctrlProp486.xml><?xml version="1.0" encoding="utf-8"?>
<formControlPr xmlns="http://schemas.microsoft.com/office/spreadsheetml/2009/9/main" objectType="Button" lockText="1"/>
</file>

<file path=xl/ctrlProps/ctrlProp487.xml><?xml version="1.0" encoding="utf-8"?>
<formControlPr xmlns="http://schemas.microsoft.com/office/spreadsheetml/2009/9/main" objectType="Button" lockText="1"/>
</file>

<file path=xl/ctrlProps/ctrlProp488.xml><?xml version="1.0" encoding="utf-8"?>
<formControlPr xmlns="http://schemas.microsoft.com/office/spreadsheetml/2009/9/main" objectType="Button" lockText="1"/>
</file>

<file path=xl/ctrlProps/ctrlProp489.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490.xml><?xml version="1.0" encoding="utf-8"?>
<formControlPr xmlns="http://schemas.microsoft.com/office/spreadsheetml/2009/9/main" objectType="Button" lockText="1"/>
</file>

<file path=xl/ctrlProps/ctrlProp491.xml><?xml version="1.0" encoding="utf-8"?>
<formControlPr xmlns="http://schemas.microsoft.com/office/spreadsheetml/2009/9/main" objectType="Button" lockText="1"/>
</file>

<file path=xl/ctrlProps/ctrlProp492.xml><?xml version="1.0" encoding="utf-8"?>
<formControlPr xmlns="http://schemas.microsoft.com/office/spreadsheetml/2009/9/main" objectType="Button" lockText="1"/>
</file>

<file path=xl/ctrlProps/ctrlProp493.xml><?xml version="1.0" encoding="utf-8"?>
<formControlPr xmlns="http://schemas.microsoft.com/office/spreadsheetml/2009/9/main" objectType="Button" lockText="1"/>
</file>

<file path=xl/ctrlProps/ctrlProp494.xml><?xml version="1.0" encoding="utf-8"?>
<formControlPr xmlns="http://schemas.microsoft.com/office/spreadsheetml/2009/9/main" objectType="Button" lockText="1"/>
</file>

<file path=xl/ctrlProps/ctrlProp495.xml><?xml version="1.0" encoding="utf-8"?>
<formControlPr xmlns="http://schemas.microsoft.com/office/spreadsheetml/2009/9/main" objectType="Button" lockText="1"/>
</file>

<file path=xl/ctrlProps/ctrlProp496.xml><?xml version="1.0" encoding="utf-8"?>
<formControlPr xmlns="http://schemas.microsoft.com/office/spreadsheetml/2009/9/main" objectType="Button" lockText="1"/>
</file>

<file path=xl/ctrlProps/ctrlProp497.xml><?xml version="1.0" encoding="utf-8"?>
<formControlPr xmlns="http://schemas.microsoft.com/office/spreadsheetml/2009/9/main" objectType="Button" lockText="1"/>
</file>

<file path=xl/ctrlProps/ctrlProp498.xml><?xml version="1.0" encoding="utf-8"?>
<formControlPr xmlns="http://schemas.microsoft.com/office/spreadsheetml/2009/9/main" objectType="Button" lockText="1"/>
</file>

<file path=xl/ctrlProps/ctrlProp499.xml><?xml version="1.0" encoding="utf-8"?>
<formControlPr xmlns="http://schemas.microsoft.com/office/spreadsheetml/2009/9/main" objectType="Button" lockText="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Button" lockText="1"/>
</file>

<file path=xl/ctrlProps/ctrlProp500.xml><?xml version="1.0" encoding="utf-8"?>
<formControlPr xmlns="http://schemas.microsoft.com/office/spreadsheetml/2009/9/main" objectType="Button" lockText="1"/>
</file>

<file path=xl/ctrlProps/ctrlProp501.xml><?xml version="1.0" encoding="utf-8"?>
<formControlPr xmlns="http://schemas.microsoft.com/office/spreadsheetml/2009/9/main" objectType="Button" lockText="1"/>
</file>

<file path=xl/ctrlProps/ctrlProp502.xml><?xml version="1.0" encoding="utf-8"?>
<formControlPr xmlns="http://schemas.microsoft.com/office/spreadsheetml/2009/9/main" objectType="Button" lockText="1"/>
</file>

<file path=xl/ctrlProps/ctrlProp503.xml><?xml version="1.0" encoding="utf-8"?>
<formControlPr xmlns="http://schemas.microsoft.com/office/spreadsheetml/2009/9/main" objectType="Button" lockText="1"/>
</file>

<file path=xl/ctrlProps/ctrlProp504.xml><?xml version="1.0" encoding="utf-8"?>
<formControlPr xmlns="http://schemas.microsoft.com/office/spreadsheetml/2009/9/main" objectType="Button" lockText="1"/>
</file>

<file path=xl/ctrlProps/ctrlProp505.xml><?xml version="1.0" encoding="utf-8"?>
<formControlPr xmlns="http://schemas.microsoft.com/office/spreadsheetml/2009/9/main" objectType="Button" lockText="1"/>
</file>

<file path=xl/ctrlProps/ctrlProp506.xml><?xml version="1.0" encoding="utf-8"?>
<formControlPr xmlns="http://schemas.microsoft.com/office/spreadsheetml/2009/9/main" objectType="Button" lockText="1"/>
</file>

<file path=xl/ctrlProps/ctrlProp507.xml><?xml version="1.0" encoding="utf-8"?>
<formControlPr xmlns="http://schemas.microsoft.com/office/spreadsheetml/2009/9/main" objectType="Button" lockText="1"/>
</file>

<file path=xl/ctrlProps/ctrlProp508.xml><?xml version="1.0" encoding="utf-8"?>
<formControlPr xmlns="http://schemas.microsoft.com/office/spreadsheetml/2009/9/main" objectType="Button" lockText="1"/>
</file>

<file path=xl/ctrlProps/ctrlProp509.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10.xml><?xml version="1.0" encoding="utf-8"?>
<formControlPr xmlns="http://schemas.microsoft.com/office/spreadsheetml/2009/9/main" objectType="Button" lockText="1"/>
</file>

<file path=xl/ctrlProps/ctrlProp511.xml><?xml version="1.0" encoding="utf-8"?>
<formControlPr xmlns="http://schemas.microsoft.com/office/spreadsheetml/2009/9/main" objectType="Button" lockText="1"/>
</file>

<file path=xl/ctrlProps/ctrlProp512.xml><?xml version="1.0" encoding="utf-8"?>
<formControlPr xmlns="http://schemas.microsoft.com/office/spreadsheetml/2009/9/main" objectType="Button" lockText="1"/>
</file>

<file path=xl/ctrlProps/ctrlProp513.xml><?xml version="1.0" encoding="utf-8"?>
<formControlPr xmlns="http://schemas.microsoft.com/office/spreadsheetml/2009/9/main" objectType="Button" lockText="1"/>
</file>

<file path=xl/ctrlProps/ctrlProp514.xml><?xml version="1.0" encoding="utf-8"?>
<formControlPr xmlns="http://schemas.microsoft.com/office/spreadsheetml/2009/9/main" objectType="Button" lockText="1"/>
</file>

<file path=xl/ctrlProps/ctrlProp515.xml><?xml version="1.0" encoding="utf-8"?>
<formControlPr xmlns="http://schemas.microsoft.com/office/spreadsheetml/2009/9/main" objectType="Button" lockText="1"/>
</file>

<file path=xl/ctrlProps/ctrlProp516.xml><?xml version="1.0" encoding="utf-8"?>
<formControlPr xmlns="http://schemas.microsoft.com/office/spreadsheetml/2009/9/main" objectType="Button" lockText="1"/>
</file>

<file path=xl/ctrlProps/ctrlProp517.xml><?xml version="1.0" encoding="utf-8"?>
<formControlPr xmlns="http://schemas.microsoft.com/office/spreadsheetml/2009/9/main" objectType="Button" lockText="1"/>
</file>

<file path=xl/ctrlProps/ctrlProp518.xml><?xml version="1.0" encoding="utf-8"?>
<formControlPr xmlns="http://schemas.microsoft.com/office/spreadsheetml/2009/9/main" objectType="Button" lockText="1"/>
</file>

<file path=xl/ctrlProps/ctrlProp519.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20.xml><?xml version="1.0" encoding="utf-8"?>
<formControlPr xmlns="http://schemas.microsoft.com/office/spreadsheetml/2009/9/main" objectType="Button" lockText="1"/>
</file>

<file path=xl/ctrlProps/ctrlProp521.xml><?xml version="1.0" encoding="utf-8"?>
<formControlPr xmlns="http://schemas.microsoft.com/office/spreadsheetml/2009/9/main" objectType="Button" lockText="1"/>
</file>

<file path=xl/ctrlProps/ctrlProp522.xml><?xml version="1.0" encoding="utf-8"?>
<formControlPr xmlns="http://schemas.microsoft.com/office/spreadsheetml/2009/9/main" objectType="Button" lockText="1"/>
</file>

<file path=xl/ctrlProps/ctrlProp523.xml><?xml version="1.0" encoding="utf-8"?>
<formControlPr xmlns="http://schemas.microsoft.com/office/spreadsheetml/2009/9/main" objectType="Button" lockText="1"/>
</file>

<file path=xl/ctrlProps/ctrlProp524.xml><?xml version="1.0" encoding="utf-8"?>
<formControlPr xmlns="http://schemas.microsoft.com/office/spreadsheetml/2009/9/main" objectType="Button" lockText="1"/>
</file>

<file path=xl/ctrlProps/ctrlProp525.xml><?xml version="1.0" encoding="utf-8"?>
<formControlPr xmlns="http://schemas.microsoft.com/office/spreadsheetml/2009/9/main" objectType="Button" lockText="1"/>
</file>

<file path=xl/ctrlProps/ctrlProp526.xml><?xml version="1.0" encoding="utf-8"?>
<formControlPr xmlns="http://schemas.microsoft.com/office/spreadsheetml/2009/9/main" objectType="Button" lockText="1"/>
</file>

<file path=xl/ctrlProps/ctrlProp527.xml><?xml version="1.0" encoding="utf-8"?>
<formControlPr xmlns="http://schemas.microsoft.com/office/spreadsheetml/2009/9/main" objectType="Button" lockText="1"/>
</file>

<file path=xl/ctrlProps/ctrlProp528.xml><?xml version="1.0" encoding="utf-8"?>
<formControlPr xmlns="http://schemas.microsoft.com/office/spreadsheetml/2009/9/main" objectType="Button" lockText="1"/>
</file>

<file path=xl/ctrlProps/ctrlProp529.xml><?xml version="1.0" encoding="utf-8"?>
<formControlPr xmlns="http://schemas.microsoft.com/office/spreadsheetml/2009/9/main" objectType="CheckBox" checked="Checked" fmlaLink="E4" lockText="1" noThreeD="1"/>
</file>

<file path=xl/ctrlProps/ctrlProp53.xml><?xml version="1.0" encoding="utf-8"?>
<formControlPr xmlns="http://schemas.microsoft.com/office/spreadsheetml/2009/9/main" objectType="Button" lockText="1"/>
</file>

<file path=xl/ctrlProps/ctrlProp530.xml><?xml version="1.0" encoding="utf-8"?>
<formControlPr xmlns="http://schemas.microsoft.com/office/spreadsheetml/2009/9/main" objectType="CheckBox" checked="Checked" fmlaLink="E5" lockText="1" noThreeD="1"/>
</file>

<file path=xl/ctrlProps/ctrlProp531.xml><?xml version="1.0" encoding="utf-8"?>
<formControlPr xmlns="http://schemas.microsoft.com/office/spreadsheetml/2009/9/main" objectType="CheckBox" checked="Checked" fmlaLink="E7" lockText="1" noThreeD="1"/>
</file>

<file path=xl/ctrlProps/ctrlProp532.xml><?xml version="1.0" encoding="utf-8"?>
<formControlPr xmlns="http://schemas.microsoft.com/office/spreadsheetml/2009/9/main" objectType="CheckBox" checked="Checked" fmlaLink="E8" lockText="1" noThreeD="1"/>
</file>

<file path=xl/ctrlProps/ctrlProp533.xml><?xml version="1.0" encoding="utf-8"?>
<formControlPr xmlns="http://schemas.microsoft.com/office/spreadsheetml/2009/9/main" objectType="CheckBox" checked="Checked" fmlaLink="E11" lockText="1" noThreeD="1"/>
</file>

<file path=xl/ctrlProps/ctrlProp534.xml><?xml version="1.0" encoding="utf-8"?>
<formControlPr xmlns="http://schemas.microsoft.com/office/spreadsheetml/2009/9/main" objectType="CheckBox" checked="Checked" fmlaLink="E12" lockText="1" noThreeD="1"/>
</file>

<file path=xl/ctrlProps/ctrlProp535.xml><?xml version="1.0" encoding="utf-8"?>
<formControlPr xmlns="http://schemas.microsoft.com/office/spreadsheetml/2009/9/main" objectType="CheckBox" checked="Checked" fmlaLink="E13" lockText="1" noThreeD="1"/>
</file>

<file path=xl/ctrlProps/ctrlProp536.xml><?xml version="1.0" encoding="utf-8"?>
<formControlPr xmlns="http://schemas.microsoft.com/office/spreadsheetml/2009/9/main" objectType="CheckBox" checked="Checked" fmlaLink="E14" lockText="1" noThreeD="1"/>
</file>

<file path=xl/ctrlProps/ctrlProp537.xml><?xml version="1.0" encoding="utf-8"?>
<formControlPr xmlns="http://schemas.microsoft.com/office/spreadsheetml/2009/9/main" objectType="CheckBox" checked="Checked" fmlaLink="E15" lockText="1" noThreeD="1"/>
</file>

<file path=xl/ctrlProps/ctrlProp538.xml><?xml version="1.0" encoding="utf-8"?>
<formControlPr xmlns="http://schemas.microsoft.com/office/spreadsheetml/2009/9/main" objectType="CheckBox" checked="Checked" fmlaLink="E16" lockText="1" noThreeD="1"/>
</file>

<file path=xl/ctrlProps/ctrlProp539.xml><?xml version="1.0" encoding="utf-8"?>
<formControlPr xmlns="http://schemas.microsoft.com/office/spreadsheetml/2009/9/main" objectType="CheckBox" checked="Checked" fmlaLink="E17" lockText="1" noThreeD="1"/>
</file>

<file path=xl/ctrlProps/ctrlProp54.xml><?xml version="1.0" encoding="utf-8"?>
<formControlPr xmlns="http://schemas.microsoft.com/office/spreadsheetml/2009/9/main" objectType="Button" lockText="1"/>
</file>

<file path=xl/ctrlProps/ctrlProp540.xml><?xml version="1.0" encoding="utf-8"?>
<formControlPr xmlns="http://schemas.microsoft.com/office/spreadsheetml/2009/9/main" objectType="CheckBox" checked="Checked" fmlaLink="E18" lockText="1" noThreeD="1"/>
</file>

<file path=xl/ctrlProps/ctrlProp541.xml><?xml version="1.0" encoding="utf-8"?>
<formControlPr xmlns="http://schemas.microsoft.com/office/spreadsheetml/2009/9/main" objectType="CheckBox" checked="Checked" fmlaLink="E19" lockText="1" noThreeD="1"/>
</file>

<file path=xl/ctrlProps/ctrlProp542.xml><?xml version="1.0" encoding="utf-8"?>
<formControlPr xmlns="http://schemas.microsoft.com/office/spreadsheetml/2009/9/main" objectType="CheckBox" checked="Checked" fmlaLink="E20" lockText="1" noThreeD="1"/>
</file>

<file path=xl/ctrlProps/ctrlProp543.xml><?xml version="1.0" encoding="utf-8"?>
<formControlPr xmlns="http://schemas.microsoft.com/office/spreadsheetml/2009/9/main" objectType="CheckBox" checked="Checked" fmlaLink="E21" lockText="1" noThreeD="1"/>
</file>

<file path=xl/ctrlProps/ctrlProp544.xml><?xml version="1.0" encoding="utf-8"?>
<formControlPr xmlns="http://schemas.microsoft.com/office/spreadsheetml/2009/9/main" objectType="CheckBox" checked="Checked" fmlaLink="E22" lockText="1" noThreeD="1"/>
</file>

<file path=xl/ctrlProps/ctrlProp545.xml><?xml version="1.0" encoding="utf-8"?>
<formControlPr xmlns="http://schemas.microsoft.com/office/spreadsheetml/2009/9/main" objectType="CheckBox" checked="Checked" fmlaLink="E23" lockText="1" noThreeD="1"/>
</file>

<file path=xl/ctrlProps/ctrlProp546.xml><?xml version="1.0" encoding="utf-8"?>
<formControlPr xmlns="http://schemas.microsoft.com/office/spreadsheetml/2009/9/main" objectType="CheckBox" checked="Checked" fmlaLink="E24" lockText="1" noThreeD="1"/>
</file>

<file path=xl/ctrlProps/ctrlProp547.xml><?xml version="1.0" encoding="utf-8"?>
<formControlPr xmlns="http://schemas.microsoft.com/office/spreadsheetml/2009/9/main" objectType="CheckBox" checked="Checked" fmlaLink="E25" lockText="1" noThreeD="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30</xdr:row>
          <xdr:rowOff>95250</xdr:rowOff>
        </xdr:from>
        <xdr:to>
          <xdr:col>1</xdr:col>
          <xdr:colOff>457200</xdr:colOff>
          <xdr:row>32</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95250</xdr:rowOff>
        </xdr:from>
        <xdr:to>
          <xdr:col>5</xdr:col>
          <xdr:colOff>676275</xdr:colOff>
          <xdr:row>14</xdr:row>
          <xdr:rowOff>28575</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Same as the delivery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14</xdr:row>
          <xdr:rowOff>31750</xdr:rowOff>
        </xdr:from>
        <xdr:to>
          <xdr:col>5</xdr:col>
          <xdr:colOff>676275</xdr:colOff>
          <xdr:row>15</xdr:row>
          <xdr:rowOff>66675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Higher than the delivery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15</xdr:row>
          <xdr:rowOff>69850</xdr:rowOff>
        </xdr:from>
        <xdr:to>
          <xdr:col>5</xdr:col>
          <xdr:colOff>676275</xdr:colOff>
          <xdr:row>16</xdr:row>
          <xdr:rowOff>104775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Lower than the delivery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69850</xdr:rowOff>
        </xdr:from>
        <xdr:to>
          <xdr:col>5</xdr:col>
          <xdr:colOff>676275</xdr:colOff>
          <xdr:row>17</xdr:row>
          <xdr:rowOff>9525</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US" sz="800" b="0" i="0" u="none" strike="noStrike" baseline="0">
                  <a:solidFill>
                    <a:srgbClr val="000000"/>
                  </a:solidFill>
                  <a:latin typeface="Tahoma"/>
                  <a:ea typeface="Tahoma"/>
                  <a:cs typeface="Tahoma"/>
                </a:rPr>
                <a:t>Metered Voltage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31</xdr:row>
          <xdr:rowOff>69850</xdr:rowOff>
        </xdr:from>
        <xdr:to>
          <xdr:col>2</xdr:col>
          <xdr:colOff>104775</xdr:colOff>
          <xdr:row>33</xdr:row>
          <xdr:rowOff>47625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32</xdr:row>
          <xdr:rowOff>88900</xdr:rowOff>
        </xdr:from>
        <xdr:to>
          <xdr:col>1</xdr:col>
          <xdr:colOff>600075</xdr:colOff>
          <xdr:row>34</xdr:row>
          <xdr:rowOff>9525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64513" name="Button 1" hidden="1">
              <a:extLst>
                <a:ext uri="{63B3BB69-23CF-44E3-9099-C40C66FF867C}">
                  <a14:compatExt spid="_x0000_s64513"/>
                </a:ext>
                <a:ext uri="{FF2B5EF4-FFF2-40B4-BE49-F238E27FC236}">
                  <a16:creationId xmlns:a16="http://schemas.microsoft.com/office/drawing/2014/main" id="{00000000-0008-0000-0A00-000001F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64514" name="Button 2" hidden="1">
              <a:extLst>
                <a:ext uri="{63B3BB69-23CF-44E3-9099-C40C66FF867C}">
                  <a14:compatExt spid="_x0000_s64514"/>
                </a:ext>
                <a:ext uri="{FF2B5EF4-FFF2-40B4-BE49-F238E27FC236}">
                  <a16:creationId xmlns:a16="http://schemas.microsoft.com/office/drawing/2014/main" id="{00000000-0008-0000-0A00-000002F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64515" name="Button 3" hidden="1">
              <a:extLst>
                <a:ext uri="{63B3BB69-23CF-44E3-9099-C40C66FF867C}">
                  <a14:compatExt spid="_x0000_s64515"/>
                </a:ext>
                <a:ext uri="{FF2B5EF4-FFF2-40B4-BE49-F238E27FC236}">
                  <a16:creationId xmlns:a16="http://schemas.microsoft.com/office/drawing/2014/main" id="{00000000-0008-0000-0A00-000003F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64516" name="Button 4" hidden="1">
              <a:extLst>
                <a:ext uri="{63B3BB69-23CF-44E3-9099-C40C66FF867C}">
                  <a14:compatExt spid="_x0000_s64516"/>
                </a:ext>
                <a:ext uri="{FF2B5EF4-FFF2-40B4-BE49-F238E27FC236}">
                  <a16:creationId xmlns:a16="http://schemas.microsoft.com/office/drawing/2014/main" id="{00000000-0008-0000-0A00-000004F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374650</xdr:colOff>
          <xdr:row>77</xdr:row>
          <xdr:rowOff>12700</xdr:rowOff>
        </xdr:from>
        <xdr:to>
          <xdr:col>14</xdr:col>
          <xdr:colOff>723900</xdr:colOff>
          <xdr:row>78</xdr:row>
          <xdr:rowOff>57150</xdr:rowOff>
        </xdr:to>
        <xdr:sp macro="" textlink="">
          <xdr:nvSpPr>
            <xdr:cNvPr id="64517" name="Button 5" hidden="1">
              <a:extLst>
                <a:ext uri="{63B3BB69-23CF-44E3-9099-C40C66FF867C}">
                  <a14:compatExt spid="_x0000_s64517"/>
                </a:ext>
                <a:ext uri="{FF2B5EF4-FFF2-40B4-BE49-F238E27FC236}">
                  <a16:creationId xmlns:a16="http://schemas.microsoft.com/office/drawing/2014/main" id="{00000000-0008-0000-0A00-000005F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31750</xdr:rowOff>
        </xdr:from>
        <xdr:to>
          <xdr:col>0</xdr:col>
          <xdr:colOff>381000</xdr:colOff>
          <xdr:row>0</xdr:row>
          <xdr:rowOff>165100</xdr:rowOff>
        </xdr:to>
        <xdr:sp macro="" textlink="">
          <xdr:nvSpPr>
            <xdr:cNvPr id="168961" name="Button 1" hidden="1">
              <a:extLst>
                <a:ext uri="{63B3BB69-23CF-44E3-9099-C40C66FF867C}">
                  <a14:compatExt spid="_x0000_s168961"/>
                </a:ext>
                <a:ext uri="{FF2B5EF4-FFF2-40B4-BE49-F238E27FC236}">
                  <a16:creationId xmlns:a16="http://schemas.microsoft.com/office/drawing/2014/main" id="{00000000-0008-0000-0B00-00000194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73</xdr:row>
          <xdr:rowOff>50800</xdr:rowOff>
        </xdr:from>
        <xdr:to>
          <xdr:col>15</xdr:col>
          <xdr:colOff>546100</xdr:colOff>
          <xdr:row>74</xdr:row>
          <xdr:rowOff>107950</xdr:rowOff>
        </xdr:to>
        <xdr:sp macro="" textlink="">
          <xdr:nvSpPr>
            <xdr:cNvPr id="168962" name="Button 2" hidden="1">
              <a:extLst>
                <a:ext uri="{63B3BB69-23CF-44E3-9099-C40C66FF867C}">
                  <a14:compatExt spid="_x0000_s168962"/>
                </a:ext>
                <a:ext uri="{FF2B5EF4-FFF2-40B4-BE49-F238E27FC236}">
                  <a16:creationId xmlns:a16="http://schemas.microsoft.com/office/drawing/2014/main" id="{00000000-0008-0000-0B00-00000294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68963" name="Button 3" hidden="1">
              <a:extLst>
                <a:ext uri="{63B3BB69-23CF-44E3-9099-C40C66FF867C}">
                  <a14:compatExt spid="_x0000_s168963"/>
                </a:ext>
                <a:ext uri="{FF2B5EF4-FFF2-40B4-BE49-F238E27FC236}">
                  <a16:creationId xmlns:a16="http://schemas.microsoft.com/office/drawing/2014/main" id="{00000000-0008-0000-0B00-00000394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68964" name="Button 4" hidden="1">
              <a:extLst>
                <a:ext uri="{63B3BB69-23CF-44E3-9099-C40C66FF867C}">
                  <a14:compatExt spid="_x0000_s168964"/>
                </a:ext>
                <a:ext uri="{FF2B5EF4-FFF2-40B4-BE49-F238E27FC236}">
                  <a16:creationId xmlns:a16="http://schemas.microsoft.com/office/drawing/2014/main" id="{00000000-0008-0000-0B00-00000494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68965" name="Button 5" hidden="1">
              <a:extLst>
                <a:ext uri="{63B3BB69-23CF-44E3-9099-C40C66FF867C}">
                  <a14:compatExt spid="_x0000_s168965"/>
                </a:ext>
                <a:ext uri="{FF2B5EF4-FFF2-40B4-BE49-F238E27FC236}">
                  <a16:creationId xmlns:a16="http://schemas.microsoft.com/office/drawing/2014/main" id="{00000000-0008-0000-0B00-00000594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68966" name="Button 6" hidden="1">
              <a:extLst>
                <a:ext uri="{63B3BB69-23CF-44E3-9099-C40C66FF867C}">
                  <a14:compatExt spid="_x0000_s168966"/>
                </a:ext>
                <a:ext uri="{FF2B5EF4-FFF2-40B4-BE49-F238E27FC236}">
                  <a16:creationId xmlns:a16="http://schemas.microsoft.com/office/drawing/2014/main" id="{00000000-0008-0000-0B00-00000694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93185" name="Button 1" hidden="1">
              <a:extLst>
                <a:ext uri="{63B3BB69-23CF-44E3-9099-C40C66FF867C}">
                  <a14:compatExt spid="_x0000_s93185"/>
                </a:ext>
                <a:ext uri="{FF2B5EF4-FFF2-40B4-BE49-F238E27FC236}">
                  <a16:creationId xmlns:a16="http://schemas.microsoft.com/office/drawing/2014/main" id="{00000000-0008-0000-0C00-000001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82</xdr:row>
          <xdr:rowOff>50800</xdr:rowOff>
        </xdr:from>
        <xdr:to>
          <xdr:col>16</xdr:col>
          <xdr:colOff>31750</xdr:colOff>
          <xdr:row>83</xdr:row>
          <xdr:rowOff>88900</xdr:rowOff>
        </xdr:to>
        <xdr:sp macro="" textlink="">
          <xdr:nvSpPr>
            <xdr:cNvPr id="93186" name="Button 2" hidden="1">
              <a:extLst>
                <a:ext uri="{63B3BB69-23CF-44E3-9099-C40C66FF867C}">
                  <a14:compatExt spid="_x0000_s93186"/>
                </a:ext>
                <a:ext uri="{FF2B5EF4-FFF2-40B4-BE49-F238E27FC236}">
                  <a16:creationId xmlns:a16="http://schemas.microsoft.com/office/drawing/2014/main" id="{00000000-0008-0000-0C00-000002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3187" name="Button 3" hidden="1">
              <a:extLst>
                <a:ext uri="{63B3BB69-23CF-44E3-9099-C40C66FF867C}">
                  <a14:compatExt spid="_x0000_s93187"/>
                </a:ext>
                <a:ext uri="{FF2B5EF4-FFF2-40B4-BE49-F238E27FC236}">
                  <a16:creationId xmlns:a16="http://schemas.microsoft.com/office/drawing/2014/main" id="{00000000-0008-0000-0C00-000003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3188" name="Button 4" hidden="1">
              <a:extLst>
                <a:ext uri="{63B3BB69-23CF-44E3-9099-C40C66FF867C}">
                  <a14:compatExt spid="_x0000_s93188"/>
                </a:ext>
                <a:ext uri="{FF2B5EF4-FFF2-40B4-BE49-F238E27FC236}">
                  <a16:creationId xmlns:a16="http://schemas.microsoft.com/office/drawing/2014/main" id="{00000000-0008-0000-0C00-000004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3189" name="Button 5" hidden="1">
              <a:extLst>
                <a:ext uri="{63B3BB69-23CF-44E3-9099-C40C66FF867C}">
                  <a14:compatExt spid="_x0000_s93189"/>
                </a:ext>
                <a:ext uri="{FF2B5EF4-FFF2-40B4-BE49-F238E27FC236}">
                  <a16:creationId xmlns:a16="http://schemas.microsoft.com/office/drawing/2014/main" id="{00000000-0008-0000-0C00-000005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3190" name="Button 6" hidden="1">
              <a:extLst>
                <a:ext uri="{63B3BB69-23CF-44E3-9099-C40C66FF867C}">
                  <a14:compatExt spid="_x0000_s93190"/>
                </a:ext>
                <a:ext uri="{FF2B5EF4-FFF2-40B4-BE49-F238E27FC236}">
                  <a16:creationId xmlns:a16="http://schemas.microsoft.com/office/drawing/2014/main" id="{00000000-0008-0000-0C00-000006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3191" name="Button 7" hidden="1">
              <a:extLst>
                <a:ext uri="{63B3BB69-23CF-44E3-9099-C40C66FF867C}">
                  <a14:compatExt spid="_x0000_s93191"/>
                </a:ext>
                <a:ext uri="{FF2B5EF4-FFF2-40B4-BE49-F238E27FC236}">
                  <a16:creationId xmlns:a16="http://schemas.microsoft.com/office/drawing/2014/main" id="{00000000-0008-0000-0C00-000007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3192" name="Button 8" hidden="1">
              <a:extLst>
                <a:ext uri="{63B3BB69-23CF-44E3-9099-C40C66FF867C}">
                  <a14:compatExt spid="_x0000_s93192"/>
                </a:ext>
                <a:ext uri="{FF2B5EF4-FFF2-40B4-BE49-F238E27FC236}">
                  <a16:creationId xmlns:a16="http://schemas.microsoft.com/office/drawing/2014/main" id="{00000000-0008-0000-0C00-000008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3193" name="Button 9" hidden="1">
              <a:extLst>
                <a:ext uri="{63B3BB69-23CF-44E3-9099-C40C66FF867C}">
                  <a14:compatExt spid="_x0000_s93193"/>
                </a:ext>
                <a:ext uri="{FF2B5EF4-FFF2-40B4-BE49-F238E27FC236}">
                  <a16:creationId xmlns:a16="http://schemas.microsoft.com/office/drawing/2014/main" id="{00000000-0008-0000-0C00-000009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3194" name="Button 10" hidden="1">
              <a:extLst>
                <a:ext uri="{63B3BB69-23CF-44E3-9099-C40C66FF867C}">
                  <a14:compatExt spid="_x0000_s93194"/>
                </a:ext>
                <a:ext uri="{FF2B5EF4-FFF2-40B4-BE49-F238E27FC236}">
                  <a16:creationId xmlns:a16="http://schemas.microsoft.com/office/drawing/2014/main" id="{00000000-0008-0000-0C00-00000A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3195" name="Button 11" hidden="1">
              <a:extLst>
                <a:ext uri="{63B3BB69-23CF-44E3-9099-C40C66FF867C}">
                  <a14:compatExt spid="_x0000_s93195"/>
                </a:ext>
                <a:ext uri="{FF2B5EF4-FFF2-40B4-BE49-F238E27FC236}">
                  <a16:creationId xmlns:a16="http://schemas.microsoft.com/office/drawing/2014/main" id="{00000000-0008-0000-0C00-00000B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3196" name="Button 12" hidden="1">
              <a:extLst>
                <a:ext uri="{63B3BB69-23CF-44E3-9099-C40C66FF867C}">
                  <a14:compatExt spid="_x0000_s93196"/>
                </a:ext>
                <a:ext uri="{FF2B5EF4-FFF2-40B4-BE49-F238E27FC236}">
                  <a16:creationId xmlns:a16="http://schemas.microsoft.com/office/drawing/2014/main" id="{00000000-0008-0000-0C00-00000C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3197" name="Button 13" hidden="1">
              <a:extLst>
                <a:ext uri="{63B3BB69-23CF-44E3-9099-C40C66FF867C}">
                  <a14:compatExt spid="_x0000_s93197"/>
                </a:ext>
                <a:ext uri="{FF2B5EF4-FFF2-40B4-BE49-F238E27FC236}">
                  <a16:creationId xmlns:a16="http://schemas.microsoft.com/office/drawing/2014/main" id="{00000000-0008-0000-0C00-00000D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3198" name="Button 14" hidden="1">
              <a:extLst>
                <a:ext uri="{63B3BB69-23CF-44E3-9099-C40C66FF867C}">
                  <a14:compatExt spid="_x0000_s93198"/>
                </a:ext>
                <a:ext uri="{FF2B5EF4-FFF2-40B4-BE49-F238E27FC236}">
                  <a16:creationId xmlns:a16="http://schemas.microsoft.com/office/drawing/2014/main" id="{00000000-0008-0000-0C00-00000E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3199" name="Button 15" hidden="1">
              <a:extLst>
                <a:ext uri="{63B3BB69-23CF-44E3-9099-C40C66FF867C}">
                  <a14:compatExt spid="_x0000_s93199"/>
                </a:ext>
                <a:ext uri="{FF2B5EF4-FFF2-40B4-BE49-F238E27FC236}">
                  <a16:creationId xmlns:a16="http://schemas.microsoft.com/office/drawing/2014/main" id="{00000000-0008-0000-0C00-00000F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3200" name="Button 16" hidden="1">
              <a:extLst>
                <a:ext uri="{63B3BB69-23CF-44E3-9099-C40C66FF867C}">
                  <a14:compatExt spid="_x0000_s93200"/>
                </a:ext>
                <a:ext uri="{FF2B5EF4-FFF2-40B4-BE49-F238E27FC236}">
                  <a16:creationId xmlns:a16="http://schemas.microsoft.com/office/drawing/2014/main" id="{00000000-0008-0000-0C00-000010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3201" name="Button 17" hidden="1">
              <a:extLst>
                <a:ext uri="{63B3BB69-23CF-44E3-9099-C40C66FF867C}">
                  <a14:compatExt spid="_x0000_s93201"/>
                </a:ext>
                <a:ext uri="{FF2B5EF4-FFF2-40B4-BE49-F238E27FC236}">
                  <a16:creationId xmlns:a16="http://schemas.microsoft.com/office/drawing/2014/main" id="{00000000-0008-0000-0C00-000011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3202" name="Button 18" hidden="1">
              <a:extLst>
                <a:ext uri="{63B3BB69-23CF-44E3-9099-C40C66FF867C}">
                  <a14:compatExt spid="_x0000_s93202"/>
                </a:ext>
                <a:ext uri="{FF2B5EF4-FFF2-40B4-BE49-F238E27FC236}">
                  <a16:creationId xmlns:a16="http://schemas.microsoft.com/office/drawing/2014/main" id="{00000000-0008-0000-0C00-000012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3203" name="Button 19" hidden="1">
              <a:extLst>
                <a:ext uri="{63B3BB69-23CF-44E3-9099-C40C66FF867C}">
                  <a14:compatExt spid="_x0000_s93203"/>
                </a:ext>
                <a:ext uri="{FF2B5EF4-FFF2-40B4-BE49-F238E27FC236}">
                  <a16:creationId xmlns:a16="http://schemas.microsoft.com/office/drawing/2014/main" id="{00000000-0008-0000-0C00-000013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3204" name="Button 20" hidden="1">
              <a:extLst>
                <a:ext uri="{63B3BB69-23CF-44E3-9099-C40C66FF867C}">
                  <a14:compatExt spid="_x0000_s93204"/>
                </a:ext>
                <a:ext uri="{FF2B5EF4-FFF2-40B4-BE49-F238E27FC236}">
                  <a16:creationId xmlns:a16="http://schemas.microsoft.com/office/drawing/2014/main" id="{00000000-0008-0000-0C00-000014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3205" name="Button 21" hidden="1">
              <a:extLst>
                <a:ext uri="{63B3BB69-23CF-44E3-9099-C40C66FF867C}">
                  <a14:compatExt spid="_x0000_s93205"/>
                </a:ext>
                <a:ext uri="{FF2B5EF4-FFF2-40B4-BE49-F238E27FC236}">
                  <a16:creationId xmlns:a16="http://schemas.microsoft.com/office/drawing/2014/main" id="{00000000-0008-0000-0C00-000015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3206" name="Button 22" hidden="1">
              <a:extLst>
                <a:ext uri="{63B3BB69-23CF-44E3-9099-C40C66FF867C}">
                  <a14:compatExt spid="_x0000_s93206"/>
                </a:ext>
                <a:ext uri="{FF2B5EF4-FFF2-40B4-BE49-F238E27FC236}">
                  <a16:creationId xmlns:a16="http://schemas.microsoft.com/office/drawing/2014/main" id="{00000000-0008-0000-0C00-000016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3207" name="Button 23" hidden="1">
              <a:extLst>
                <a:ext uri="{63B3BB69-23CF-44E3-9099-C40C66FF867C}">
                  <a14:compatExt spid="_x0000_s93207"/>
                </a:ext>
                <a:ext uri="{FF2B5EF4-FFF2-40B4-BE49-F238E27FC236}">
                  <a16:creationId xmlns:a16="http://schemas.microsoft.com/office/drawing/2014/main" id="{00000000-0008-0000-0C00-000017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3208" name="Button 24" hidden="1">
              <a:extLst>
                <a:ext uri="{63B3BB69-23CF-44E3-9099-C40C66FF867C}">
                  <a14:compatExt spid="_x0000_s93208"/>
                </a:ext>
                <a:ext uri="{FF2B5EF4-FFF2-40B4-BE49-F238E27FC236}">
                  <a16:creationId xmlns:a16="http://schemas.microsoft.com/office/drawing/2014/main" id="{00000000-0008-0000-0C00-000018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3209" name="Button 25" hidden="1">
              <a:extLst>
                <a:ext uri="{63B3BB69-23CF-44E3-9099-C40C66FF867C}">
                  <a14:compatExt spid="_x0000_s93209"/>
                </a:ext>
                <a:ext uri="{FF2B5EF4-FFF2-40B4-BE49-F238E27FC236}">
                  <a16:creationId xmlns:a16="http://schemas.microsoft.com/office/drawing/2014/main" id="{00000000-0008-0000-0C00-000019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3210" name="Button 26" hidden="1">
              <a:extLst>
                <a:ext uri="{63B3BB69-23CF-44E3-9099-C40C66FF867C}">
                  <a14:compatExt spid="_x0000_s93210"/>
                </a:ext>
                <a:ext uri="{FF2B5EF4-FFF2-40B4-BE49-F238E27FC236}">
                  <a16:creationId xmlns:a16="http://schemas.microsoft.com/office/drawing/2014/main" id="{00000000-0008-0000-0C00-00001A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3211" name="Button 27" hidden="1">
              <a:extLst>
                <a:ext uri="{63B3BB69-23CF-44E3-9099-C40C66FF867C}">
                  <a14:compatExt spid="_x0000_s93211"/>
                </a:ext>
                <a:ext uri="{FF2B5EF4-FFF2-40B4-BE49-F238E27FC236}">
                  <a16:creationId xmlns:a16="http://schemas.microsoft.com/office/drawing/2014/main" id="{00000000-0008-0000-0C00-00001B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3212" name="Button 28" hidden="1">
              <a:extLst>
                <a:ext uri="{63B3BB69-23CF-44E3-9099-C40C66FF867C}">
                  <a14:compatExt spid="_x0000_s93212"/>
                </a:ext>
                <a:ext uri="{FF2B5EF4-FFF2-40B4-BE49-F238E27FC236}">
                  <a16:creationId xmlns:a16="http://schemas.microsoft.com/office/drawing/2014/main" id="{00000000-0008-0000-0C00-00001C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3213" name="Button 29" hidden="1">
              <a:extLst>
                <a:ext uri="{63B3BB69-23CF-44E3-9099-C40C66FF867C}">
                  <a14:compatExt spid="_x0000_s93213"/>
                </a:ext>
                <a:ext uri="{FF2B5EF4-FFF2-40B4-BE49-F238E27FC236}">
                  <a16:creationId xmlns:a16="http://schemas.microsoft.com/office/drawing/2014/main" id="{00000000-0008-0000-0C00-00001D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3214" name="Button 30" hidden="1">
              <a:extLst>
                <a:ext uri="{63B3BB69-23CF-44E3-9099-C40C66FF867C}">
                  <a14:compatExt spid="_x0000_s93214"/>
                </a:ext>
                <a:ext uri="{FF2B5EF4-FFF2-40B4-BE49-F238E27FC236}">
                  <a16:creationId xmlns:a16="http://schemas.microsoft.com/office/drawing/2014/main" id="{00000000-0008-0000-0C00-00001E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3215" name="Button 31" hidden="1">
              <a:extLst>
                <a:ext uri="{63B3BB69-23CF-44E3-9099-C40C66FF867C}">
                  <a14:compatExt spid="_x0000_s93215"/>
                </a:ext>
                <a:ext uri="{FF2B5EF4-FFF2-40B4-BE49-F238E27FC236}">
                  <a16:creationId xmlns:a16="http://schemas.microsoft.com/office/drawing/2014/main" id="{00000000-0008-0000-0C00-00001F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3216" name="Button 32" hidden="1">
              <a:extLst>
                <a:ext uri="{63B3BB69-23CF-44E3-9099-C40C66FF867C}">
                  <a14:compatExt spid="_x0000_s93216"/>
                </a:ext>
                <a:ext uri="{FF2B5EF4-FFF2-40B4-BE49-F238E27FC236}">
                  <a16:creationId xmlns:a16="http://schemas.microsoft.com/office/drawing/2014/main" id="{00000000-0008-0000-0C00-000020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3217" name="Button 33" hidden="1">
              <a:extLst>
                <a:ext uri="{63B3BB69-23CF-44E3-9099-C40C66FF867C}">
                  <a14:compatExt spid="_x0000_s93217"/>
                </a:ext>
                <a:ext uri="{FF2B5EF4-FFF2-40B4-BE49-F238E27FC236}">
                  <a16:creationId xmlns:a16="http://schemas.microsoft.com/office/drawing/2014/main" id="{00000000-0008-0000-0C00-000021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3218" name="Button 34" hidden="1">
              <a:extLst>
                <a:ext uri="{63B3BB69-23CF-44E3-9099-C40C66FF867C}">
                  <a14:compatExt spid="_x0000_s93218"/>
                </a:ext>
                <a:ext uri="{FF2B5EF4-FFF2-40B4-BE49-F238E27FC236}">
                  <a16:creationId xmlns:a16="http://schemas.microsoft.com/office/drawing/2014/main" id="{00000000-0008-0000-0C00-000022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3219" name="Button 35" hidden="1">
              <a:extLst>
                <a:ext uri="{63B3BB69-23CF-44E3-9099-C40C66FF867C}">
                  <a14:compatExt spid="_x0000_s93219"/>
                </a:ext>
                <a:ext uri="{FF2B5EF4-FFF2-40B4-BE49-F238E27FC236}">
                  <a16:creationId xmlns:a16="http://schemas.microsoft.com/office/drawing/2014/main" id="{00000000-0008-0000-0C00-000023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3220" name="Button 36" hidden="1">
              <a:extLst>
                <a:ext uri="{63B3BB69-23CF-44E3-9099-C40C66FF867C}">
                  <a14:compatExt spid="_x0000_s93220"/>
                </a:ext>
                <a:ext uri="{FF2B5EF4-FFF2-40B4-BE49-F238E27FC236}">
                  <a16:creationId xmlns:a16="http://schemas.microsoft.com/office/drawing/2014/main" id="{00000000-0008-0000-0C00-000024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3221" name="Button 37" hidden="1">
              <a:extLst>
                <a:ext uri="{63B3BB69-23CF-44E3-9099-C40C66FF867C}">
                  <a14:compatExt spid="_x0000_s93221"/>
                </a:ext>
                <a:ext uri="{FF2B5EF4-FFF2-40B4-BE49-F238E27FC236}">
                  <a16:creationId xmlns:a16="http://schemas.microsoft.com/office/drawing/2014/main" id="{00000000-0008-0000-0C00-000025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3222" name="Button 38" hidden="1">
              <a:extLst>
                <a:ext uri="{63B3BB69-23CF-44E3-9099-C40C66FF867C}">
                  <a14:compatExt spid="_x0000_s93222"/>
                </a:ext>
                <a:ext uri="{FF2B5EF4-FFF2-40B4-BE49-F238E27FC236}">
                  <a16:creationId xmlns:a16="http://schemas.microsoft.com/office/drawing/2014/main" id="{00000000-0008-0000-0C00-000026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3223" name="Button 39" hidden="1">
              <a:extLst>
                <a:ext uri="{63B3BB69-23CF-44E3-9099-C40C66FF867C}">
                  <a14:compatExt spid="_x0000_s93223"/>
                </a:ext>
                <a:ext uri="{FF2B5EF4-FFF2-40B4-BE49-F238E27FC236}">
                  <a16:creationId xmlns:a16="http://schemas.microsoft.com/office/drawing/2014/main" id="{00000000-0008-0000-0C00-000027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3224" name="Button 40" hidden="1">
              <a:extLst>
                <a:ext uri="{63B3BB69-23CF-44E3-9099-C40C66FF867C}">
                  <a14:compatExt spid="_x0000_s93224"/>
                </a:ext>
                <a:ext uri="{FF2B5EF4-FFF2-40B4-BE49-F238E27FC236}">
                  <a16:creationId xmlns:a16="http://schemas.microsoft.com/office/drawing/2014/main" id="{00000000-0008-0000-0C00-000028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3225" name="Button 41" hidden="1">
              <a:extLst>
                <a:ext uri="{63B3BB69-23CF-44E3-9099-C40C66FF867C}">
                  <a14:compatExt spid="_x0000_s93225"/>
                </a:ext>
                <a:ext uri="{FF2B5EF4-FFF2-40B4-BE49-F238E27FC236}">
                  <a16:creationId xmlns:a16="http://schemas.microsoft.com/office/drawing/2014/main" id="{00000000-0008-0000-0C00-000029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3226" name="Button 42" hidden="1">
              <a:extLst>
                <a:ext uri="{63B3BB69-23CF-44E3-9099-C40C66FF867C}">
                  <a14:compatExt spid="_x0000_s93226"/>
                </a:ext>
                <a:ext uri="{FF2B5EF4-FFF2-40B4-BE49-F238E27FC236}">
                  <a16:creationId xmlns:a16="http://schemas.microsoft.com/office/drawing/2014/main" id="{00000000-0008-0000-0C00-00002A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3227" name="Button 43" hidden="1">
              <a:extLst>
                <a:ext uri="{63B3BB69-23CF-44E3-9099-C40C66FF867C}">
                  <a14:compatExt spid="_x0000_s93227"/>
                </a:ext>
                <a:ext uri="{FF2B5EF4-FFF2-40B4-BE49-F238E27FC236}">
                  <a16:creationId xmlns:a16="http://schemas.microsoft.com/office/drawing/2014/main" id="{00000000-0008-0000-0C00-00002B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3228" name="Button 44" hidden="1">
              <a:extLst>
                <a:ext uri="{63B3BB69-23CF-44E3-9099-C40C66FF867C}">
                  <a14:compatExt spid="_x0000_s93228"/>
                </a:ext>
                <a:ext uri="{FF2B5EF4-FFF2-40B4-BE49-F238E27FC236}">
                  <a16:creationId xmlns:a16="http://schemas.microsoft.com/office/drawing/2014/main" id="{00000000-0008-0000-0C00-00002C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3229" name="Button 45" hidden="1">
              <a:extLst>
                <a:ext uri="{63B3BB69-23CF-44E3-9099-C40C66FF867C}">
                  <a14:compatExt spid="_x0000_s93229"/>
                </a:ext>
                <a:ext uri="{FF2B5EF4-FFF2-40B4-BE49-F238E27FC236}">
                  <a16:creationId xmlns:a16="http://schemas.microsoft.com/office/drawing/2014/main" id="{00000000-0008-0000-0C00-00002D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3230" name="Button 46" hidden="1">
              <a:extLst>
                <a:ext uri="{63B3BB69-23CF-44E3-9099-C40C66FF867C}">
                  <a14:compatExt spid="_x0000_s93230"/>
                </a:ext>
                <a:ext uri="{FF2B5EF4-FFF2-40B4-BE49-F238E27FC236}">
                  <a16:creationId xmlns:a16="http://schemas.microsoft.com/office/drawing/2014/main" id="{00000000-0008-0000-0C00-00002E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3231" name="Button 47" hidden="1">
              <a:extLst>
                <a:ext uri="{63B3BB69-23CF-44E3-9099-C40C66FF867C}">
                  <a14:compatExt spid="_x0000_s93231"/>
                </a:ext>
                <a:ext uri="{FF2B5EF4-FFF2-40B4-BE49-F238E27FC236}">
                  <a16:creationId xmlns:a16="http://schemas.microsoft.com/office/drawing/2014/main" id="{00000000-0008-0000-0C00-00002F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3232" name="Button 48" hidden="1">
              <a:extLst>
                <a:ext uri="{63B3BB69-23CF-44E3-9099-C40C66FF867C}">
                  <a14:compatExt spid="_x0000_s93232"/>
                </a:ext>
                <a:ext uri="{FF2B5EF4-FFF2-40B4-BE49-F238E27FC236}">
                  <a16:creationId xmlns:a16="http://schemas.microsoft.com/office/drawing/2014/main" id="{00000000-0008-0000-0C00-000030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3233" name="Button 49" hidden="1">
              <a:extLst>
                <a:ext uri="{63B3BB69-23CF-44E3-9099-C40C66FF867C}">
                  <a14:compatExt spid="_x0000_s93233"/>
                </a:ext>
                <a:ext uri="{FF2B5EF4-FFF2-40B4-BE49-F238E27FC236}">
                  <a16:creationId xmlns:a16="http://schemas.microsoft.com/office/drawing/2014/main" id="{00000000-0008-0000-0C00-000031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3234" name="Button 50" hidden="1">
              <a:extLst>
                <a:ext uri="{63B3BB69-23CF-44E3-9099-C40C66FF867C}">
                  <a14:compatExt spid="_x0000_s93234"/>
                </a:ext>
                <a:ext uri="{FF2B5EF4-FFF2-40B4-BE49-F238E27FC236}">
                  <a16:creationId xmlns:a16="http://schemas.microsoft.com/office/drawing/2014/main" id="{00000000-0008-0000-0C00-000032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3235" name="Button 51" hidden="1">
              <a:extLst>
                <a:ext uri="{63B3BB69-23CF-44E3-9099-C40C66FF867C}">
                  <a14:compatExt spid="_x0000_s93235"/>
                </a:ext>
                <a:ext uri="{FF2B5EF4-FFF2-40B4-BE49-F238E27FC236}">
                  <a16:creationId xmlns:a16="http://schemas.microsoft.com/office/drawing/2014/main" id="{00000000-0008-0000-0C00-000033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3236" name="Button 52" hidden="1">
              <a:extLst>
                <a:ext uri="{63B3BB69-23CF-44E3-9099-C40C66FF867C}">
                  <a14:compatExt spid="_x0000_s93236"/>
                </a:ext>
                <a:ext uri="{FF2B5EF4-FFF2-40B4-BE49-F238E27FC236}">
                  <a16:creationId xmlns:a16="http://schemas.microsoft.com/office/drawing/2014/main" id="{00000000-0008-0000-0C00-000034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3237" name="Button 53" hidden="1">
              <a:extLst>
                <a:ext uri="{63B3BB69-23CF-44E3-9099-C40C66FF867C}">
                  <a14:compatExt spid="_x0000_s93237"/>
                </a:ext>
                <a:ext uri="{FF2B5EF4-FFF2-40B4-BE49-F238E27FC236}">
                  <a16:creationId xmlns:a16="http://schemas.microsoft.com/office/drawing/2014/main" id="{00000000-0008-0000-0C00-000035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3238" name="Button 54" hidden="1">
              <a:extLst>
                <a:ext uri="{63B3BB69-23CF-44E3-9099-C40C66FF867C}">
                  <a14:compatExt spid="_x0000_s93238"/>
                </a:ext>
                <a:ext uri="{FF2B5EF4-FFF2-40B4-BE49-F238E27FC236}">
                  <a16:creationId xmlns:a16="http://schemas.microsoft.com/office/drawing/2014/main" id="{00000000-0008-0000-0C00-000036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3239" name="Button 55" hidden="1">
              <a:extLst>
                <a:ext uri="{63B3BB69-23CF-44E3-9099-C40C66FF867C}">
                  <a14:compatExt spid="_x0000_s93239"/>
                </a:ext>
                <a:ext uri="{FF2B5EF4-FFF2-40B4-BE49-F238E27FC236}">
                  <a16:creationId xmlns:a16="http://schemas.microsoft.com/office/drawing/2014/main" id="{00000000-0008-0000-0C00-000037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3240" name="Button 56" hidden="1">
              <a:extLst>
                <a:ext uri="{63B3BB69-23CF-44E3-9099-C40C66FF867C}">
                  <a14:compatExt spid="_x0000_s93240"/>
                </a:ext>
                <a:ext uri="{FF2B5EF4-FFF2-40B4-BE49-F238E27FC236}">
                  <a16:creationId xmlns:a16="http://schemas.microsoft.com/office/drawing/2014/main" id="{00000000-0008-0000-0C00-000038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3241" name="Button 57" hidden="1">
              <a:extLst>
                <a:ext uri="{63B3BB69-23CF-44E3-9099-C40C66FF867C}">
                  <a14:compatExt spid="_x0000_s93241"/>
                </a:ext>
                <a:ext uri="{FF2B5EF4-FFF2-40B4-BE49-F238E27FC236}">
                  <a16:creationId xmlns:a16="http://schemas.microsoft.com/office/drawing/2014/main" id="{00000000-0008-0000-0C00-000039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3242" name="Button 58" hidden="1">
              <a:extLst>
                <a:ext uri="{63B3BB69-23CF-44E3-9099-C40C66FF867C}">
                  <a14:compatExt spid="_x0000_s93242"/>
                </a:ext>
                <a:ext uri="{FF2B5EF4-FFF2-40B4-BE49-F238E27FC236}">
                  <a16:creationId xmlns:a16="http://schemas.microsoft.com/office/drawing/2014/main" id="{00000000-0008-0000-0C00-00003A6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94209" name="Button 1" hidden="1">
              <a:extLst>
                <a:ext uri="{63B3BB69-23CF-44E3-9099-C40C66FF867C}">
                  <a14:compatExt spid="_x0000_s94209"/>
                </a:ext>
                <a:ext uri="{FF2B5EF4-FFF2-40B4-BE49-F238E27FC236}">
                  <a16:creationId xmlns:a16="http://schemas.microsoft.com/office/drawing/2014/main" id="{00000000-0008-0000-0D00-000001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82</xdr:row>
          <xdr:rowOff>50800</xdr:rowOff>
        </xdr:from>
        <xdr:to>
          <xdr:col>16</xdr:col>
          <xdr:colOff>31750</xdr:colOff>
          <xdr:row>83</xdr:row>
          <xdr:rowOff>88900</xdr:rowOff>
        </xdr:to>
        <xdr:sp macro="" textlink="">
          <xdr:nvSpPr>
            <xdr:cNvPr id="94210" name="Button 2" hidden="1">
              <a:extLst>
                <a:ext uri="{63B3BB69-23CF-44E3-9099-C40C66FF867C}">
                  <a14:compatExt spid="_x0000_s94210"/>
                </a:ext>
                <a:ext uri="{FF2B5EF4-FFF2-40B4-BE49-F238E27FC236}">
                  <a16:creationId xmlns:a16="http://schemas.microsoft.com/office/drawing/2014/main" id="{00000000-0008-0000-0D00-000002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4211" name="Button 3" hidden="1">
              <a:extLst>
                <a:ext uri="{63B3BB69-23CF-44E3-9099-C40C66FF867C}">
                  <a14:compatExt spid="_x0000_s94211"/>
                </a:ext>
                <a:ext uri="{FF2B5EF4-FFF2-40B4-BE49-F238E27FC236}">
                  <a16:creationId xmlns:a16="http://schemas.microsoft.com/office/drawing/2014/main" id="{00000000-0008-0000-0D00-000003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4212" name="Button 4" hidden="1">
              <a:extLst>
                <a:ext uri="{63B3BB69-23CF-44E3-9099-C40C66FF867C}">
                  <a14:compatExt spid="_x0000_s94212"/>
                </a:ext>
                <a:ext uri="{FF2B5EF4-FFF2-40B4-BE49-F238E27FC236}">
                  <a16:creationId xmlns:a16="http://schemas.microsoft.com/office/drawing/2014/main" id="{00000000-0008-0000-0D00-000004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4213" name="Button 5" hidden="1">
              <a:extLst>
                <a:ext uri="{63B3BB69-23CF-44E3-9099-C40C66FF867C}">
                  <a14:compatExt spid="_x0000_s94213"/>
                </a:ext>
                <a:ext uri="{FF2B5EF4-FFF2-40B4-BE49-F238E27FC236}">
                  <a16:creationId xmlns:a16="http://schemas.microsoft.com/office/drawing/2014/main" id="{00000000-0008-0000-0D00-000005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94214" name="Button 6" hidden="1">
              <a:extLst>
                <a:ext uri="{63B3BB69-23CF-44E3-9099-C40C66FF867C}">
                  <a14:compatExt spid="_x0000_s94214"/>
                </a:ext>
                <a:ext uri="{FF2B5EF4-FFF2-40B4-BE49-F238E27FC236}">
                  <a16:creationId xmlns:a16="http://schemas.microsoft.com/office/drawing/2014/main" id="{00000000-0008-0000-0D00-000006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4215" name="Button 7" hidden="1">
              <a:extLst>
                <a:ext uri="{63B3BB69-23CF-44E3-9099-C40C66FF867C}">
                  <a14:compatExt spid="_x0000_s94215"/>
                </a:ext>
                <a:ext uri="{FF2B5EF4-FFF2-40B4-BE49-F238E27FC236}">
                  <a16:creationId xmlns:a16="http://schemas.microsoft.com/office/drawing/2014/main" id="{00000000-0008-0000-0D00-000007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4216" name="Button 8" hidden="1">
              <a:extLst>
                <a:ext uri="{63B3BB69-23CF-44E3-9099-C40C66FF867C}">
                  <a14:compatExt spid="_x0000_s94216"/>
                </a:ext>
                <a:ext uri="{FF2B5EF4-FFF2-40B4-BE49-F238E27FC236}">
                  <a16:creationId xmlns:a16="http://schemas.microsoft.com/office/drawing/2014/main" id="{00000000-0008-0000-0D00-000008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4217" name="Button 9" hidden="1">
              <a:extLst>
                <a:ext uri="{63B3BB69-23CF-44E3-9099-C40C66FF867C}">
                  <a14:compatExt spid="_x0000_s94217"/>
                </a:ext>
                <a:ext uri="{FF2B5EF4-FFF2-40B4-BE49-F238E27FC236}">
                  <a16:creationId xmlns:a16="http://schemas.microsoft.com/office/drawing/2014/main" id="{00000000-0008-0000-0D00-000009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94218" name="Button 10" hidden="1">
              <a:extLst>
                <a:ext uri="{63B3BB69-23CF-44E3-9099-C40C66FF867C}">
                  <a14:compatExt spid="_x0000_s94218"/>
                </a:ext>
                <a:ext uri="{FF2B5EF4-FFF2-40B4-BE49-F238E27FC236}">
                  <a16:creationId xmlns:a16="http://schemas.microsoft.com/office/drawing/2014/main" id="{00000000-0008-0000-0D00-00000A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4219" name="Button 11" hidden="1">
              <a:extLst>
                <a:ext uri="{63B3BB69-23CF-44E3-9099-C40C66FF867C}">
                  <a14:compatExt spid="_x0000_s94219"/>
                </a:ext>
                <a:ext uri="{FF2B5EF4-FFF2-40B4-BE49-F238E27FC236}">
                  <a16:creationId xmlns:a16="http://schemas.microsoft.com/office/drawing/2014/main" id="{00000000-0008-0000-0D00-00000B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4220" name="Button 12" hidden="1">
              <a:extLst>
                <a:ext uri="{63B3BB69-23CF-44E3-9099-C40C66FF867C}">
                  <a14:compatExt spid="_x0000_s94220"/>
                </a:ext>
                <a:ext uri="{FF2B5EF4-FFF2-40B4-BE49-F238E27FC236}">
                  <a16:creationId xmlns:a16="http://schemas.microsoft.com/office/drawing/2014/main" id="{00000000-0008-0000-0D00-00000C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4221" name="Button 13" hidden="1">
              <a:extLst>
                <a:ext uri="{63B3BB69-23CF-44E3-9099-C40C66FF867C}">
                  <a14:compatExt spid="_x0000_s94221"/>
                </a:ext>
                <a:ext uri="{FF2B5EF4-FFF2-40B4-BE49-F238E27FC236}">
                  <a16:creationId xmlns:a16="http://schemas.microsoft.com/office/drawing/2014/main" id="{00000000-0008-0000-0D00-00000D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94222" name="Button 14" hidden="1">
              <a:extLst>
                <a:ext uri="{63B3BB69-23CF-44E3-9099-C40C66FF867C}">
                  <a14:compatExt spid="_x0000_s94222"/>
                </a:ext>
                <a:ext uri="{FF2B5EF4-FFF2-40B4-BE49-F238E27FC236}">
                  <a16:creationId xmlns:a16="http://schemas.microsoft.com/office/drawing/2014/main" id="{00000000-0008-0000-0D00-00000E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4223" name="Button 15" hidden="1">
              <a:extLst>
                <a:ext uri="{63B3BB69-23CF-44E3-9099-C40C66FF867C}">
                  <a14:compatExt spid="_x0000_s94223"/>
                </a:ext>
                <a:ext uri="{FF2B5EF4-FFF2-40B4-BE49-F238E27FC236}">
                  <a16:creationId xmlns:a16="http://schemas.microsoft.com/office/drawing/2014/main" id="{00000000-0008-0000-0D00-00000F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4224" name="Button 16" hidden="1">
              <a:extLst>
                <a:ext uri="{63B3BB69-23CF-44E3-9099-C40C66FF867C}">
                  <a14:compatExt spid="_x0000_s94224"/>
                </a:ext>
                <a:ext uri="{FF2B5EF4-FFF2-40B4-BE49-F238E27FC236}">
                  <a16:creationId xmlns:a16="http://schemas.microsoft.com/office/drawing/2014/main" id="{00000000-0008-0000-0D00-000010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4225" name="Button 17" hidden="1">
              <a:extLst>
                <a:ext uri="{63B3BB69-23CF-44E3-9099-C40C66FF867C}">
                  <a14:compatExt spid="_x0000_s94225"/>
                </a:ext>
                <a:ext uri="{FF2B5EF4-FFF2-40B4-BE49-F238E27FC236}">
                  <a16:creationId xmlns:a16="http://schemas.microsoft.com/office/drawing/2014/main" id="{00000000-0008-0000-0D00-000011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94226" name="Button 18" hidden="1">
              <a:extLst>
                <a:ext uri="{63B3BB69-23CF-44E3-9099-C40C66FF867C}">
                  <a14:compatExt spid="_x0000_s94226"/>
                </a:ext>
                <a:ext uri="{FF2B5EF4-FFF2-40B4-BE49-F238E27FC236}">
                  <a16:creationId xmlns:a16="http://schemas.microsoft.com/office/drawing/2014/main" id="{00000000-0008-0000-0D00-000012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4227" name="Button 19" hidden="1">
              <a:extLst>
                <a:ext uri="{63B3BB69-23CF-44E3-9099-C40C66FF867C}">
                  <a14:compatExt spid="_x0000_s94227"/>
                </a:ext>
                <a:ext uri="{FF2B5EF4-FFF2-40B4-BE49-F238E27FC236}">
                  <a16:creationId xmlns:a16="http://schemas.microsoft.com/office/drawing/2014/main" id="{00000000-0008-0000-0D00-000013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4228" name="Button 20" hidden="1">
              <a:extLst>
                <a:ext uri="{63B3BB69-23CF-44E3-9099-C40C66FF867C}">
                  <a14:compatExt spid="_x0000_s94228"/>
                </a:ext>
                <a:ext uri="{FF2B5EF4-FFF2-40B4-BE49-F238E27FC236}">
                  <a16:creationId xmlns:a16="http://schemas.microsoft.com/office/drawing/2014/main" id="{00000000-0008-0000-0D00-000014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4229" name="Button 21" hidden="1">
              <a:extLst>
                <a:ext uri="{63B3BB69-23CF-44E3-9099-C40C66FF867C}">
                  <a14:compatExt spid="_x0000_s94229"/>
                </a:ext>
                <a:ext uri="{FF2B5EF4-FFF2-40B4-BE49-F238E27FC236}">
                  <a16:creationId xmlns:a16="http://schemas.microsoft.com/office/drawing/2014/main" id="{00000000-0008-0000-0D00-000015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94230" name="Button 22" hidden="1">
              <a:extLst>
                <a:ext uri="{63B3BB69-23CF-44E3-9099-C40C66FF867C}">
                  <a14:compatExt spid="_x0000_s94230"/>
                </a:ext>
                <a:ext uri="{FF2B5EF4-FFF2-40B4-BE49-F238E27FC236}">
                  <a16:creationId xmlns:a16="http://schemas.microsoft.com/office/drawing/2014/main" id="{00000000-0008-0000-0D00-000016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4231" name="Button 23" hidden="1">
              <a:extLst>
                <a:ext uri="{63B3BB69-23CF-44E3-9099-C40C66FF867C}">
                  <a14:compatExt spid="_x0000_s94231"/>
                </a:ext>
                <a:ext uri="{FF2B5EF4-FFF2-40B4-BE49-F238E27FC236}">
                  <a16:creationId xmlns:a16="http://schemas.microsoft.com/office/drawing/2014/main" id="{00000000-0008-0000-0D00-000017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4232" name="Button 24" hidden="1">
              <a:extLst>
                <a:ext uri="{63B3BB69-23CF-44E3-9099-C40C66FF867C}">
                  <a14:compatExt spid="_x0000_s94232"/>
                </a:ext>
                <a:ext uri="{FF2B5EF4-FFF2-40B4-BE49-F238E27FC236}">
                  <a16:creationId xmlns:a16="http://schemas.microsoft.com/office/drawing/2014/main" id="{00000000-0008-0000-0D00-000018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4233" name="Button 25" hidden="1">
              <a:extLst>
                <a:ext uri="{63B3BB69-23CF-44E3-9099-C40C66FF867C}">
                  <a14:compatExt spid="_x0000_s94233"/>
                </a:ext>
                <a:ext uri="{FF2B5EF4-FFF2-40B4-BE49-F238E27FC236}">
                  <a16:creationId xmlns:a16="http://schemas.microsoft.com/office/drawing/2014/main" id="{00000000-0008-0000-0D00-000019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94234" name="Button 26" hidden="1">
              <a:extLst>
                <a:ext uri="{63B3BB69-23CF-44E3-9099-C40C66FF867C}">
                  <a14:compatExt spid="_x0000_s94234"/>
                </a:ext>
                <a:ext uri="{FF2B5EF4-FFF2-40B4-BE49-F238E27FC236}">
                  <a16:creationId xmlns:a16="http://schemas.microsoft.com/office/drawing/2014/main" id="{00000000-0008-0000-0D00-00001A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4235" name="Button 27" hidden="1">
              <a:extLst>
                <a:ext uri="{63B3BB69-23CF-44E3-9099-C40C66FF867C}">
                  <a14:compatExt spid="_x0000_s94235"/>
                </a:ext>
                <a:ext uri="{FF2B5EF4-FFF2-40B4-BE49-F238E27FC236}">
                  <a16:creationId xmlns:a16="http://schemas.microsoft.com/office/drawing/2014/main" id="{00000000-0008-0000-0D00-00001B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4236" name="Button 28" hidden="1">
              <a:extLst>
                <a:ext uri="{63B3BB69-23CF-44E3-9099-C40C66FF867C}">
                  <a14:compatExt spid="_x0000_s94236"/>
                </a:ext>
                <a:ext uri="{FF2B5EF4-FFF2-40B4-BE49-F238E27FC236}">
                  <a16:creationId xmlns:a16="http://schemas.microsoft.com/office/drawing/2014/main" id="{00000000-0008-0000-0D00-00001C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4237" name="Button 29" hidden="1">
              <a:extLst>
                <a:ext uri="{63B3BB69-23CF-44E3-9099-C40C66FF867C}">
                  <a14:compatExt spid="_x0000_s94237"/>
                </a:ext>
                <a:ext uri="{FF2B5EF4-FFF2-40B4-BE49-F238E27FC236}">
                  <a16:creationId xmlns:a16="http://schemas.microsoft.com/office/drawing/2014/main" id="{00000000-0008-0000-0D00-00001D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94238" name="Button 30" hidden="1">
              <a:extLst>
                <a:ext uri="{63B3BB69-23CF-44E3-9099-C40C66FF867C}">
                  <a14:compatExt spid="_x0000_s94238"/>
                </a:ext>
                <a:ext uri="{FF2B5EF4-FFF2-40B4-BE49-F238E27FC236}">
                  <a16:creationId xmlns:a16="http://schemas.microsoft.com/office/drawing/2014/main" id="{00000000-0008-0000-0D00-00001E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4239" name="Button 31" hidden="1">
              <a:extLst>
                <a:ext uri="{63B3BB69-23CF-44E3-9099-C40C66FF867C}">
                  <a14:compatExt spid="_x0000_s94239"/>
                </a:ext>
                <a:ext uri="{FF2B5EF4-FFF2-40B4-BE49-F238E27FC236}">
                  <a16:creationId xmlns:a16="http://schemas.microsoft.com/office/drawing/2014/main" id="{00000000-0008-0000-0D00-00001F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4240" name="Button 32" hidden="1">
              <a:extLst>
                <a:ext uri="{63B3BB69-23CF-44E3-9099-C40C66FF867C}">
                  <a14:compatExt spid="_x0000_s94240"/>
                </a:ext>
                <a:ext uri="{FF2B5EF4-FFF2-40B4-BE49-F238E27FC236}">
                  <a16:creationId xmlns:a16="http://schemas.microsoft.com/office/drawing/2014/main" id="{00000000-0008-0000-0D00-000020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4241" name="Button 33" hidden="1">
              <a:extLst>
                <a:ext uri="{63B3BB69-23CF-44E3-9099-C40C66FF867C}">
                  <a14:compatExt spid="_x0000_s94241"/>
                </a:ext>
                <a:ext uri="{FF2B5EF4-FFF2-40B4-BE49-F238E27FC236}">
                  <a16:creationId xmlns:a16="http://schemas.microsoft.com/office/drawing/2014/main" id="{00000000-0008-0000-0D00-000021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94242" name="Button 34" hidden="1">
              <a:extLst>
                <a:ext uri="{63B3BB69-23CF-44E3-9099-C40C66FF867C}">
                  <a14:compatExt spid="_x0000_s94242"/>
                </a:ext>
                <a:ext uri="{FF2B5EF4-FFF2-40B4-BE49-F238E27FC236}">
                  <a16:creationId xmlns:a16="http://schemas.microsoft.com/office/drawing/2014/main" id="{00000000-0008-0000-0D00-000022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4243" name="Button 35" hidden="1">
              <a:extLst>
                <a:ext uri="{63B3BB69-23CF-44E3-9099-C40C66FF867C}">
                  <a14:compatExt spid="_x0000_s94243"/>
                </a:ext>
                <a:ext uri="{FF2B5EF4-FFF2-40B4-BE49-F238E27FC236}">
                  <a16:creationId xmlns:a16="http://schemas.microsoft.com/office/drawing/2014/main" id="{00000000-0008-0000-0D00-000023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4244" name="Button 36" hidden="1">
              <a:extLst>
                <a:ext uri="{63B3BB69-23CF-44E3-9099-C40C66FF867C}">
                  <a14:compatExt spid="_x0000_s94244"/>
                </a:ext>
                <a:ext uri="{FF2B5EF4-FFF2-40B4-BE49-F238E27FC236}">
                  <a16:creationId xmlns:a16="http://schemas.microsoft.com/office/drawing/2014/main" id="{00000000-0008-0000-0D00-000024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4245" name="Button 37" hidden="1">
              <a:extLst>
                <a:ext uri="{63B3BB69-23CF-44E3-9099-C40C66FF867C}">
                  <a14:compatExt spid="_x0000_s94245"/>
                </a:ext>
                <a:ext uri="{FF2B5EF4-FFF2-40B4-BE49-F238E27FC236}">
                  <a16:creationId xmlns:a16="http://schemas.microsoft.com/office/drawing/2014/main" id="{00000000-0008-0000-0D00-000025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94246" name="Button 38" hidden="1">
              <a:extLst>
                <a:ext uri="{63B3BB69-23CF-44E3-9099-C40C66FF867C}">
                  <a14:compatExt spid="_x0000_s94246"/>
                </a:ext>
                <a:ext uri="{FF2B5EF4-FFF2-40B4-BE49-F238E27FC236}">
                  <a16:creationId xmlns:a16="http://schemas.microsoft.com/office/drawing/2014/main" id="{00000000-0008-0000-0D00-000026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4247" name="Button 39" hidden="1">
              <a:extLst>
                <a:ext uri="{63B3BB69-23CF-44E3-9099-C40C66FF867C}">
                  <a14:compatExt spid="_x0000_s94247"/>
                </a:ext>
                <a:ext uri="{FF2B5EF4-FFF2-40B4-BE49-F238E27FC236}">
                  <a16:creationId xmlns:a16="http://schemas.microsoft.com/office/drawing/2014/main" id="{00000000-0008-0000-0D00-000027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4248" name="Button 40" hidden="1">
              <a:extLst>
                <a:ext uri="{63B3BB69-23CF-44E3-9099-C40C66FF867C}">
                  <a14:compatExt spid="_x0000_s94248"/>
                </a:ext>
                <a:ext uri="{FF2B5EF4-FFF2-40B4-BE49-F238E27FC236}">
                  <a16:creationId xmlns:a16="http://schemas.microsoft.com/office/drawing/2014/main" id="{00000000-0008-0000-0D00-000028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4249" name="Button 41" hidden="1">
              <a:extLst>
                <a:ext uri="{63B3BB69-23CF-44E3-9099-C40C66FF867C}">
                  <a14:compatExt spid="_x0000_s94249"/>
                </a:ext>
                <a:ext uri="{FF2B5EF4-FFF2-40B4-BE49-F238E27FC236}">
                  <a16:creationId xmlns:a16="http://schemas.microsoft.com/office/drawing/2014/main" id="{00000000-0008-0000-0D00-000029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94250" name="Button 42" hidden="1">
              <a:extLst>
                <a:ext uri="{63B3BB69-23CF-44E3-9099-C40C66FF867C}">
                  <a14:compatExt spid="_x0000_s94250"/>
                </a:ext>
                <a:ext uri="{FF2B5EF4-FFF2-40B4-BE49-F238E27FC236}">
                  <a16:creationId xmlns:a16="http://schemas.microsoft.com/office/drawing/2014/main" id="{00000000-0008-0000-0D00-00002A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4251" name="Button 43" hidden="1">
              <a:extLst>
                <a:ext uri="{63B3BB69-23CF-44E3-9099-C40C66FF867C}">
                  <a14:compatExt spid="_x0000_s94251"/>
                </a:ext>
                <a:ext uri="{FF2B5EF4-FFF2-40B4-BE49-F238E27FC236}">
                  <a16:creationId xmlns:a16="http://schemas.microsoft.com/office/drawing/2014/main" id="{00000000-0008-0000-0D00-00002B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4252" name="Button 44" hidden="1">
              <a:extLst>
                <a:ext uri="{63B3BB69-23CF-44E3-9099-C40C66FF867C}">
                  <a14:compatExt spid="_x0000_s94252"/>
                </a:ext>
                <a:ext uri="{FF2B5EF4-FFF2-40B4-BE49-F238E27FC236}">
                  <a16:creationId xmlns:a16="http://schemas.microsoft.com/office/drawing/2014/main" id="{00000000-0008-0000-0D00-00002C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4253" name="Button 45" hidden="1">
              <a:extLst>
                <a:ext uri="{63B3BB69-23CF-44E3-9099-C40C66FF867C}">
                  <a14:compatExt spid="_x0000_s94253"/>
                </a:ext>
                <a:ext uri="{FF2B5EF4-FFF2-40B4-BE49-F238E27FC236}">
                  <a16:creationId xmlns:a16="http://schemas.microsoft.com/office/drawing/2014/main" id="{00000000-0008-0000-0D00-00002D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94254" name="Button 46" hidden="1">
              <a:extLst>
                <a:ext uri="{63B3BB69-23CF-44E3-9099-C40C66FF867C}">
                  <a14:compatExt spid="_x0000_s94254"/>
                </a:ext>
                <a:ext uri="{FF2B5EF4-FFF2-40B4-BE49-F238E27FC236}">
                  <a16:creationId xmlns:a16="http://schemas.microsoft.com/office/drawing/2014/main" id="{00000000-0008-0000-0D00-00002E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4255" name="Button 47" hidden="1">
              <a:extLst>
                <a:ext uri="{63B3BB69-23CF-44E3-9099-C40C66FF867C}">
                  <a14:compatExt spid="_x0000_s94255"/>
                </a:ext>
                <a:ext uri="{FF2B5EF4-FFF2-40B4-BE49-F238E27FC236}">
                  <a16:creationId xmlns:a16="http://schemas.microsoft.com/office/drawing/2014/main" id="{00000000-0008-0000-0D00-00002F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4256" name="Button 48" hidden="1">
              <a:extLst>
                <a:ext uri="{63B3BB69-23CF-44E3-9099-C40C66FF867C}">
                  <a14:compatExt spid="_x0000_s94256"/>
                </a:ext>
                <a:ext uri="{FF2B5EF4-FFF2-40B4-BE49-F238E27FC236}">
                  <a16:creationId xmlns:a16="http://schemas.microsoft.com/office/drawing/2014/main" id="{00000000-0008-0000-0D00-000030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4257" name="Button 49" hidden="1">
              <a:extLst>
                <a:ext uri="{63B3BB69-23CF-44E3-9099-C40C66FF867C}">
                  <a14:compatExt spid="_x0000_s94257"/>
                </a:ext>
                <a:ext uri="{FF2B5EF4-FFF2-40B4-BE49-F238E27FC236}">
                  <a16:creationId xmlns:a16="http://schemas.microsoft.com/office/drawing/2014/main" id="{00000000-0008-0000-0D00-000031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94258" name="Button 50" hidden="1">
              <a:extLst>
                <a:ext uri="{63B3BB69-23CF-44E3-9099-C40C66FF867C}">
                  <a14:compatExt spid="_x0000_s94258"/>
                </a:ext>
                <a:ext uri="{FF2B5EF4-FFF2-40B4-BE49-F238E27FC236}">
                  <a16:creationId xmlns:a16="http://schemas.microsoft.com/office/drawing/2014/main" id="{00000000-0008-0000-0D00-000032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4259" name="Button 51" hidden="1">
              <a:extLst>
                <a:ext uri="{63B3BB69-23CF-44E3-9099-C40C66FF867C}">
                  <a14:compatExt spid="_x0000_s94259"/>
                </a:ext>
                <a:ext uri="{FF2B5EF4-FFF2-40B4-BE49-F238E27FC236}">
                  <a16:creationId xmlns:a16="http://schemas.microsoft.com/office/drawing/2014/main" id="{00000000-0008-0000-0D00-000033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4260" name="Button 52" hidden="1">
              <a:extLst>
                <a:ext uri="{63B3BB69-23CF-44E3-9099-C40C66FF867C}">
                  <a14:compatExt spid="_x0000_s94260"/>
                </a:ext>
                <a:ext uri="{FF2B5EF4-FFF2-40B4-BE49-F238E27FC236}">
                  <a16:creationId xmlns:a16="http://schemas.microsoft.com/office/drawing/2014/main" id="{00000000-0008-0000-0D00-000034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4261" name="Button 53" hidden="1">
              <a:extLst>
                <a:ext uri="{63B3BB69-23CF-44E3-9099-C40C66FF867C}">
                  <a14:compatExt spid="_x0000_s94261"/>
                </a:ext>
                <a:ext uri="{FF2B5EF4-FFF2-40B4-BE49-F238E27FC236}">
                  <a16:creationId xmlns:a16="http://schemas.microsoft.com/office/drawing/2014/main" id="{00000000-0008-0000-0D00-000035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94262" name="Button 54" hidden="1">
              <a:extLst>
                <a:ext uri="{63B3BB69-23CF-44E3-9099-C40C66FF867C}">
                  <a14:compatExt spid="_x0000_s94262"/>
                </a:ext>
                <a:ext uri="{FF2B5EF4-FFF2-40B4-BE49-F238E27FC236}">
                  <a16:creationId xmlns:a16="http://schemas.microsoft.com/office/drawing/2014/main" id="{00000000-0008-0000-0D00-000036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4263" name="Button 55" hidden="1">
              <a:extLst>
                <a:ext uri="{63B3BB69-23CF-44E3-9099-C40C66FF867C}">
                  <a14:compatExt spid="_x0000_s94263"/>
                </a:ext>
                <a:ext uri="{FF2B5EF4-FFF2-40B4-BE49-F238E27FC236}">
                  <a16:creationId xmlns:a16="http://schemas.microsoft.com/office/drawing/2014/main" id="{00000000-0008-0000-0D00-000037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4264" name="Button 56" hidden="1">
              <a:extLst>
                <a:ext uri="{63B3BB69-23CF-44E3-9099-C40C66FF867C}">
                  <a14:compatExt spid="_x0000_s94264"/>
                </a:ext>
                <a:ext uri="{FF2B5EF4-FFF2-40B4-BE49-F238E27FC236}">
                  <a16:creationId xmlns:a16="http://schemas.microsoft.com/office/drawing/2014/main" id="{00000000-0008-0000-0D00-000038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4265" name="Button 57" hidden="1">
              <a:extLst>
                <a:ext uri="{63B3BB69-23CF-44E3-9099-C40C66FF867C}">
                  <a14:compatExt spid="_x0000_s94265"/>
                </a:ext>
                <a:ext uri="{FF2B5EF4-FFF2-40B4-BE49-F238E27FC236}">
                  <a16:creationId xmlns:a16="http://schemas.microsoft.com/office/drawing/2014/main" id="{00000000-0008-0000-0D00-000039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94266" name="Button 58" hidden="1">
              <a:extLst>
                <a:ext uri="{63B3BB69-23CF-44E3-9099-C40C66FF867C}">
                  <a14:compatExt spid="_x0000_s94266"/>
                </a:ext>
                <a:ext uri="{FF2B5EF4-FFF2-40B4-BE49-F238E27FC236}">
                  <a16:creationId xmlns:a16="http://schemas.microsoft.com/office/drawing/2014/main" id="{00000000-0008-0000-0D00-00003A7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158721" name="Button 1" hidden="1">
              <a:extLst>
                <a:ext uri="{63B3BB69-23CF-44E3-9099-C40C66FF867C}">
                  <a14:compatExt spid="_x0000_s158721"/>
                </a:ext>
                <a:ext uri="{FF2B5EF4-FFF2-40B4-BE49-F238E27FC236}">
                  <a16:creationId xmlns:a16="http://schemas.microsoft.com/office/drawing/2014/main" id="{00000000-0008-0000-0E00-000001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89</xdr:row>
          <xdr:rowOff>50800</xdr:rowOff>
        </xdr:from>
        <xdr:to>
          <xdr:col>16</xdr:col>
          <xdr:colOff>31750</xdr:colOff>
          <xdr:row>90</xdr:row>
          <xdr:rowOff>95250</xdr:rowOff>
        </xdr:to>
        <xdr:sp macro="" textlink="">
          <xdr:nvSpPr>
            <xdr:cNvPr id="158722" name="Button 2" hidden="1">
              <a:extLst>
                <a:ext uri="{63B3BB69-23CF-44E3-9099-C40C66FF867C}">
                  <a14:compatExt spid="_x0000_s158722"/>
                </a:ext>
                <a:ext uri="{FF2B5EF4-FFF2-40B4-BE49-F238E27FC236}">
                  <a16:creationId xmlns:a16="http://schemas.microsoft.com/office/drawing/2014/main" id="{00000000-0008-0000-0E00-000002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58723" name="Button 3" hidden="1">
              <a:extLst>
                <a:ext uri="{63B3BB69-23CF-44E3-9099-C40C66FF867C}">
                  <a14:compatExt spid="_x0000_s158723"/>
                </a:ext>
                <a:ext uri="{FF2B5EF4-FFF2-40B4-BE49-F238E27FC236}">
                  <a16:creationId xmlns:a16="http://schemas.microsoft.com/office/drawing/2014/main" id="{00000000-0008-0000-0E00-000003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58724" name="Button 4" hidden="1">
              <a:extLst>
                <a:ext uri="{63B3BB69-23CF-44E3-9099-C40C66FF867C}">
                  <a14:compatExt spid="_x0000_s158724"/>
                </a:ext>
                <a:ext uri="{FF2B5EF4-FFF2-40B4-BE49-F238E27FC236}">
                  <a16:creationId xmlns:a16="http://schemas.microsoft.com/office/drawing/2014/main" id="{00000000-0008-0000-0E00-000004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58725" name="Button 5" hidden="1">
              <a:extLst>
                <a:ext uri="{63B3BB69-23CF-44E3-9099-C40C66FF867C}">
                  <a14:compatExt spid="_x0000_s158725"/>
                </a:ext>
                <a:ext uri="{FF2B5EF4-FFF2-40B4-BE49-F238E27FC236}">
                  <a16:creationId xmlns:a16="http://schemas.microsoft.com/office/drawing/2014/main" id="{00000000-0008-0000-0E00-000005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58726" name="Button 6" hidden="1">
              <a:extLst>
                <a:ext uri="{63B3BB69-23CF-44E3-9099-C40C66FF867C}">
                  <a14:compatExt spid="_x0000_s158726"/>
                </a:ext>
                <a:ext uri="{FF2B5EF4-FFF2-40B4-BE49-F238E27FC236}">
                  <a16:creationId xmlns:a16="http://schemas.microsoft.com/office/drawing/2014/main" id="{00000000-0008-0000-0E00-000006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58727" name="Button 7" hidden="1">
              <a:extLst>
                <a:ext uri="{63B3BB69-23CF-44E3-9099-C40C66FF867C}">
                  <a14:compatExt spid="_x0000_s158727"/>
                </a:ext>
                <a:ext uri="{FF2B5EF4-FFF2-40B4-BE49-F238E27FC236}">
                  <a16:creationId xmlns:a16="http://schemas.microsoft.com/office/drawing/2014/main" id="{00000000-0008-0000-0E00-000007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58728" name="Button 8" hidden="1">
              <a:extLst>
                <a:ext uri="{63B3BB69-23CF-44E3-9099-C40C66FF867C}">
                  <a14:compatExt spid="_x0000_s158728"/>
                </a:ext>
                <a:ext uri="{FF2B5EF4-FFF2-40B4-BE49-F238E27FC236}">
                  <a16:creationId xmlns:a16="http://schemas.microsoft.com/office/drawing/2014/main" id="{00000000-0008-0000-0E00-000008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58729" name="Button 9" hidden="1">
              <a:extLst>
                <a:ext uri="{63B3BB69-23CF-44E3-9099-C40C66FF867C}">
                  <a14:compatExt spid="_x0000_s158729"/>
                </a:ext>
                <a:ext uri="{FF2B5EF4-FFF2-40B4-BE49-F238E27FC236}">
                  <a16:creationId xmlns:a16="http://schemas.microsoft.com/office/drawing/2014/main" id="{00000000-0008-0000-0E00-000009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58730" name="Button 10" hidden="1">
              <a:extLst>
                <a:ext uri="{63B3BB69-23CF-44E3-9099-C40C66FF867C}">
                  <a14:compatExt spid="_x0000_s158730"/>
                </a:ext>
                <a:ext uri="{FF2B5EF4-FFF2-40B4-BE49-F238E27FC236}">
                  <a16:creationId xmlns:a16="http://schemas.microsoft.com/office/drawing/2014/main" id="{00000000-0008-0000-0E00-00000A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58731" name="Button 11" hidden="1">
              <a:extLst>
                <a:ext uri="{63B3BB69-23CF-44E3-9099-C40C66FF867C}">
                  <a14:compatExt spid="_x0000_s158731"/>
                </a:ext>
                <a:ext uri="{FF2B5EF4-FFF2-40B4-BE49-F238E27FC236}">
                  <a16:creationId xmlns:a16="http://schemas.microsoft.com/office/drawing/2014/main" id="{00000000-0008-0000-0E00-00000B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58732" name="Button 12" hidden="1">
              <a:extLst>
                <a:ext uri="{63B3BB69-23CF-44E3-9099-C40C66FF867C}">
                  <a14:compatExt spid="_x0000_s158732"/>
                </a:ext>
                <a:ext uri="{FF2B5EF4-FFF2-40B4-BE49-F238E27FC236}">
                  <a16:creationId xmlns:a16="http://schemas.microsoft.com/office/drawing/2014/main" id="{00000000-0008-0000-0E00-00000C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58733" name="Button 13" hidden="1">
              <a:extLst>
                <a:ext uri="{63B3BB69-23CF-44E3-9099-C40C66FF867C}">
                  <a14:compatExt spid="_x0000_s158733"/>
                </a:ext>
                <a:ext uri="{FF2B5EF4-FFF2-40B4-BE49-F238E27FC236}">
                  <a16:creationId xmlns:a16="http://schemas.microsoft.com/office/drawing/2014/main" id="{00000000-0008-0000-0E00-00000D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58734" name="Button 14" hidden="1">
              <a:extLst>
                <a:ext uri="{63B3BB69-23CF-44E3-9099-C40C66FF867C}">
                  <a14:compatExt spid="_x0000_s158734"/>
                </a:ext>
                <a:ext uri="{FF2B5EF4-FFF2-40B4-BE49-F238E27FC236}">
                  <a16:creationId xmlns:a16="http://schemas.microsoft.com/office/drawing/2014/main" id="{00000000-0008-0000-0E00-00000E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58735" name="Button 15" hidden="1">
              <a:extLst>
                <a:ext uri="{63B3BB69-23CF-44E3-9099-C40C66FF867C}">
                  <a14:compatExt spid="_x0000_s158735"/>
                </a:ext>
                <a:ext uri="{FF2B5EF4-FFF2-40B4-BE49-F238E27FC236}">
                  <a16:creationId xmlns:a16="http://schemas.microsoft.com/office/drawing/2014/main" id="{00000000-0008-0000-0E00-00000F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58736" name="Button 16" hidden="1">
              <a:extLst>
                <a:ext uri="{63B3BB69-23CF-44E3-9099-C40C66FF867C}">
                  <a14:compatExt spid="_x0000_s158736"/>
                </a:ext>
                <a:ext uri="{FF2B5EF4-FFF2-40B4-BE49-F238E27FC236}">
                  <a16:creationId xmlns:a16="http://schemas.microsoft.com/office/drawing/2014/main" id="{00000000-0008-0000-0E00-000010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58737" name="Button 17" hidden="1">
              <a:extLst>
                <a:ext uri="{63B3BB69-23CF-44E3-9099-C40C66FF867C}">
                  <a14:compatExt spid="_x0000_s158737"/>
                </a:ext>
                <a:ext uri="{FF2B5EF4-FFF2-40B4-BE49-F238E27FC236}">
                  <a16:creationId xmlns:a16="http://schemas.microsoft.com/office/drawing/2014/main" id="{00000000-0008-0000-0E00-000011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58738" name="Button 18" hidden="1">
              <a:extLst>
                <a:ext uri="{63B3BB69-23CF-44E3-9099-C40C66FF867C}">
                  <a14:compatExt spid="_x0000_s158738"/>
                </a:ext>
                <a:ext uri="{FF2B5EF4-FFF2-40B4-BE49-F238E27FC236}">
                  <a16:creationId xmlns:a16="http://schemas.microsoft.com/office/drawing/2014/main" id="{00000000-0008-0000-0E00-000012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58739" name="Button 19" hidden="1">
              <a:extLst>
                <a:ext uri="{63B3BB69-23CF-44E3-9099-C40C66FF867C}">
                  <a14:compatExt spid="_x0000_s158739"/>
                </a:ext>
                <a:ext uri="{FF2B5EF4-FFF2-40B4-BE49-F238E27FC236}">
                  <a16:creationId xmlns:a16="http://schemas.microsoft.com/office/drawing/2014/main" id="{00000000-0008-0000-0E00-000013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58740" name="Button 20" hidden="1">
              <a:extLst>
                <a:ext uri="{63B3BB69-23CF-44E3-9099-C40C66FF867C}">
                  <a14:compatExt spid="_x0000_s158740"/>
                </a:ext>
                <a:ext uri="{FF2B5EF4-FFF2-40B4-BE49-F238E27FC236}">
                  <a16:creationId xmlns:a16="http://schemas.microsoft.com/office/drawing/2014/main" id="{00000000-0008-0000-0E00-000014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58741" name="Button 21" hidden="1">
              <a:extLst>
                <a:ext uri="{63B3BB69-23CF-44E3-9099-C40C66FF867C}">
                  <a14:compatExt spid="_x0000_s158741"/>
                </a:ext>
                <a:ext uri="{FF2B5EF4-FFF2-40B4-BE49-F238E27FC236}">
                  <a16:creationId xmlns:a16="http://schemas.microsoft.com/office/drawing/2014/main" id="{00000000-0008-0000-0E00-000015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58742" name="Button 22" hidden="1">
              <a:extLst>
                <a:ext uri="{63B3BB69-23CF-44E3-9099-C40C66FF867C}">
                  <a14:compatExt spid="_x0000_s158742"/>
                </a:ext>
                <a:ext uri="{FF2B5EF4-FFF2-40B4-BE49-F238E27FC236}">
                  <a16:creationId xmlns:a16="http://schemas.microsoft.com/office/drawing/2014/main" id="{00000000-0008-0000-0E00-000016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58743" name="Button 23" hidden="1">
              <a:extLst>
                <a:ext uri="{63B3BB69-23CF-44E3-9099-C40C66FF867C}">
                  <a14:compatExt spid="_x0000_s158743"/>
                </a:ext>
                <a:ext uri="{FF2B5EF4-FFF2-40B4-BE49-F238E27FC236}">
                  <a16:creationId xmlns:a16="http://schemas.microsoft.com/office/drawing/2014/main" id="{00000000-0008-0000-0E00-000017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58744" name="Button 24" hidden="1">
              <a:extLst>
                <a:ext uri="{63B3BB69-23CF-44E3-9099-C40C66FF867C}">
                  <a14:compatExt spid="_x0000_s158744"/>
                </a:ext>
                <a:ext uri="{FF2B5EF4-FFF2-40B4-BE49-F238E27FC236}">
                  <a16:creationId xmlns:a16="http://schemas.microsoft.com/office/drawing/2014/main" id="{00000000-0008-0000-0E00-000018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58745" name="Button 25" hidden="1">
              <a:extLst>
                <a:ext uri="{63B3BB69-23CF-44E3-9099-C40C66FF867C}">
                  <a14:compatExt spid="_x0000_s158745"/>
                </a:ext>
                <a:ext uri="{FF2B5EF4-FFF2-40B4-BE49-F238E27FC236}">
                  <a16:creationId xmlns:a16="http://schemas.microsoft.com/office/drawing/2014/main" id="{00000000-0008-0000-0E00-000019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58746" name="Button 26" hidden="1">
              <a:extLst>
                <a:ext uri="{63B3BB69-23CF-44E3-9099-C40C66FF867C}">
                  <a14:compatExt spid="_x0000_s158746"/>
                </a:ext>
                <a:ext uri="{FF2B5EF4-FFF2-40B4-BE49-F238E27FC236}">
                  <a16:creationId xmlns:a16="http://schemas.microsoft.com/office/drawing/2014/main" id="{00000000-0008-0000-0E00-00001A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58747" name="Button 27" hidden="1">
              <a:extLst>
                <a:ext uri="{63B3BB69-23CF-44E3-9099-C40C66FF867C}">
                  <a14:compatExt spid="_x0000_s158747"/>
                </a:ext>
                <a:ext uri="{FF2B5EF4-FFF2-40B4-BE49-F238E27FC236}">
                  <a16:creationId xmlns:a16="http://schemas.microsoft.com/office/drawing/2014/main" id="{00000000-0008-0000-0E00-00001B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58748" name="Button 28" hidden="1">
              <a:extLst>
                <a:ext uri="{63B3BB69-23CF-44E3-9099-C40C66FF867C}">
                  <a14:compatExt spid="_x0000_s158748"/>
                </a:ext>
                <a:ext uri="{FF2B5EF4-FFF2-40B4-BE49-F238E27FC236}">
                  <a16:creationId xmlns:a16="http://schemas.microsoft.com/office/drawing/2014/main" id="{00000000-0008-0000-0E00-00001C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58749" name="Button 29" hidden="1">
              <a:extLst>
                <a:ext uri="{63B3BB69-23CF-44E3-9099-C40C66FF867C}">
                  <a14:compatExt spid="_x0000_s158749"/>
                </a:ext>
                <a:ext uri="{FF2B5EF4-FFF2-40B4-BE49-F238E27FC236}">
                  <a16:creationId xmlns:a16="http://schemas.microsoft.com/office/drawing/2014/main" id="{00000000-0008-0000-0E00-00001D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58750" name="Button 30" hidden="1">
              <a:extLst>
                <a:ext uri="{63B3BB69-23CF-44E3-9099-C40C66FF867C}">
                  <a14:compatExt spid="_x0000_s158750"/>
                </a:ext>
                <a:ext uri="{FF2B5EF4-FFF2-40B4-BE49-F238E27FC236}">
                  <a16:creationId xmlns:a16="http://schemas.microsoft.com/office/drawing/2014/main" id="{00000000-0008-0000-0E00-00001E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58751" name="Button 31" hidden="1">
              <a:extLst>
                <a:ext uri="{63B3BB69-23CF-44E3-9099-C40C66FF867C}">
                  <a14:compatExt spid="_x0000_s158751"/>
                </a:ext>
                <a:ext uri="{FF2B5EF4-FFF2-40B4-BE49-F238E27FC236}">
                  <a16:creationId xmlns:a16="http://schemas.microsoft.com/office/drawing/2014/main" id="{00000000-0008-0000-0E00-00001F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58752" name="Button 32" hidden="1">
              <a:extLst>
                <a:ext uri="{63B3BB69-23CF-44E3-9099-C40C66FF867C}">
                  <a14:compatExt spid="_x0000_s158752"/>
                </a:ext>
                <a:ext uri="{FF2B5EF4-FFF2-40B4-BE49-F238E27FC236}">
                  <a16:creationId xmlns:a16="http://schemas.microsoft.com/office/drawing/2014/main" id="{00000000-0008-0000-0E00-000020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58753" name="Button 33" hidden="1">
              <a:extLst>
                <a:ext uri="{63B3BB69-23CF-44E3-9099-C40C66FF867C}">
                  <a14:compatExt spid="_x0000_s158753"/>
                </a:ext>
                <a:ext uri="{FF2B5EF4-FFF2-40B4-BE49-F238E27FC236}">
                  <a16:creationId xmlns:a16="http://schemas.microsoft.com/office/drawing/2014/main" id="{00000000-0008-0000-0E00-000021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58754" name="Button 34" hidden="1">
              <a:extLst>
                <a:ext uri="{63B3BB69-23CF-44E3-9099-C40C66FF867C}">
                  <a14:compatExt spid="_x0000_s158754"/>
                </a:ext>
                <a:ext uri="{FF2B5EF4-FFF2-40B4-BE49-F238E27FC236}">
                  <a16:creationId xmlns:a16="http://schemas.microsoft.com/office/drawing/2014/main" id="{00000000-0008-0000-0E00-000022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58755" name="Button 35" hidden="1">
              <a:extLst>
                <a:ext uri="{63B3BB69-23CF-44E3-9099-C40C66FF867C}">
                  <a14:compatExt spid="_x0000_s158755"/>
                </a:ext>
                <a:ext uri="{FF2B5EF4-FFF2-40B4-BE49-F238E27FC236}">
                  <a16:creationId xmlns:a16="http://schemas.microsoft.com/office/drawing/2014/main" id="{00000000-0008-0000-0E00-000023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58756" name="Button 36" hidden="1">
              <a:extLst>
                <a:ext uri="{63B3BB69-23CF-44E3-9099-C40C66FF867C}">
                  <a14:compatExt spid="_x0000_s158756"/>
                </a:ext>
                <a:ext uri="{FF2B5EF4-FFF2-40B4-BE49-F238E27FC236}">
                  <a16:creationId xmlns:a16="http://schemas.microsoft.com/office/drawing/2014/main" id="{00000000-0008-0000-0E00-000024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58757" name="Button 37" hidden="1">
              <a:extLst>
                <a:ext uri="{63B3BB69-23CF-44E3-9099-C40C66FF867C}">
                  <a14:compatExt spid="_x0000_s158757"/>
                </a:ext>
                <a:ext uri="{FF2B5EF4-FFF2-40B4-BE49-F238E27FC236}">
                  <a16:creationId xmlns:a16="http://schemas.microsoft.com/office/drawing/2014/main" id="{00000000-0008-0000-0E00-000025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58758" name="Button 38" hidden="1">
              <a:extLst>
                <a:ext uri="{63B3BB69-23CF-44E3-9099-C40C66FF867C}">
                  <a14:compatExt spid="_x0000_s158758"/>
                </a:ext>
                <a:ext uri="{FF2B5EF4-FFF2-40B4-BE49-F238E27FC236}">
                  <a16:creationId xmlns:a16="http://schemas.microsoft.com/office/drawing/2014/main" id="{00000000-0008-0000-0E00-000026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58759" name="Button 39" hidden="1">
              <a:extLst>
                <a:ext uri="{63B3BB69-23CF-44E3-9099-C40C66FF867C}">
                  <a14:compatExt spid="_x0000_s158759"/>
                </a:ext>
                <a:ext uri="{FF2B5EF4-FFF2-40B4-BE49-F238E27FC236}">
                  <a16:creationId xmlns:a16="http://schemas.microsoft.com/office/drawing/2014/main" id="{00000000-0008-0000-0E00-000027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58760" name="Button 40" hidden="1">
              <a:extLst>
                <a:ext uri="{63B3BB69-23CF-44E3-9099-C40C66FF867C}">
                  <a14:compatExt spid="_x0000_s158760"/>
                </a:ext>
                <a:ext uri="{FF2B5EF4-FFF2-40B4-BE49-F238E27FC236}">
                  <a16:creationId xmlns:a16="http://schemas.microsoft.com/office/drawing/2014/main" id="{00000000-0008-0000-0E00-000028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58761" name="Button 41" hidden="1">
              <a:extLst>
                <a:ext uri="{63B3BB69-23CF-44E3-9099-C40C66FF867C}">
                  <a14:compatExt spid="_x0000_s158761"/>
                </a:ext>
                <a:ext uri="{FF2B5EF4-FFF2-40B4-BE49-F238E27FC236}">
                  <a16:creationId xmlns:a16="http://schemas.microsoft.com/office/drawing/2014/main" id="{00000000-0008-0000-0E00-000029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58762" name="Button 42" hidden="1">
              <a:extLst>
                <a:ext uri="{63B3BB69-23CF-44E3-9099-C40C66FF867C}">
                  <a14:compatExt spid="_x0000_s158762"/>
                </a:ext>
                <a:ext uri="{FF2B5EF4-FFF2-40B4-BE49-F238E27FC236}">
                  <a16:creationId xmlns:a16="http://schemas.microsoft.com/office/drawing/2014/main" id="{00000000-0008-0000-0E00-00002A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58763" name="Button 43" hidden="1">
              <a:extLst>
                <a:ext uri="{63B3BB69-23CF-44E3-9099-C40C66FF867C}">
                  <a14:compatExt spid="_x0000_s158763"/>
                </a:ext>
                <a:ext uri="{FF2B5EF4-FFF2-40B4-BE49-F238E27FC236}">
                  <a16:creationId xmlns:a16="http://schemas.microsoft.com/office/drawing/2014/main" id="{00000000-0008-0000-0E00-00002B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58764" name="Button 44" hidden="1">
              <a:extLst>
                <a:ext uri="{63B3BB69-23CF-44E3-9099-C40C66FF867C}">
                  <a14:compatExt spid="_x0000_s158764"/>
                </a:ext>
                <a:ext uri="{FF2B5EF4-FFF2-40B4-BE49-F238E27FC236}">
                  <a16:creationId xmlns:a16="http://schemas.microsoft.com/office/drawing/2014/main" id="{00000000-0008-0000-0E00-00002C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58765" name="Button 45" hidden="1">
              <a:extLst>
                <a:ext uri="{63B3BB69-23CF-44E3-9099-C40C66FF867C}">
                  <a14:compatExt spid="_x0000_s158765"/>
                </a:ext>
                <a:ext uri="{FF2B5EF4-FFF2-40B4-BE49-F238E27FC236}">
                  <a16:creationId xmlns:a16="http://schemas.microsoft.com/office/drawing/2014/main" id="{00000000-0008-0000-0E00-00002D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58766" name="Button 46" hidden="1">
              <a:extLst>
                <a:ext uri="{63B3BB69-23CF-44E3-9099-C40C66FF867C}">
                  <a14:compatExt spid="_x0000_s158766"/>
                </a:ext>
                <a:ext uri="{FF2B5EF4-FFF2-40B4-BE49-F238E27FC236}">
                  <a16:creationId xmlns:a16="http://schemas.microsoft.com/office/drawing/2014/main" id="{00000000-0008-0000-0E00-00002E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58767" name="Button 47" hidden="1">
              <a:extLst>
                <a:ext uri="{63B3BB69-23CF-44E3-9099-C40C66FF867C}">
                  <a14:compatExt spid="_x0000_s158767"/>
                </a:ext>
                <a:ext uri="{FF2B5EF4-FFF2-40B4-BE49-F238E27FC236}">
                  <a16:creationId xmlns:a16="http://schemas.microsoft.com/office/drawing/2014/main" id="{00000000-0008-0000-0E00-00002F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58768" name="Button 48" hidden="1">
              <a:extLst>
                <a:ext uri="{63B3BB69-23CF-44E3-9099-C40C66FF867C}">
                  <a14:compatExt spid="_x0000_s158768"/>
                </a:ext>
                <a:ext uri="{FF2B5EF4-FFF2-40B4-BE49-F238E27FC236}">
                  <a16:creationId xmlns:a16="http://schemas.microsoft.com/office/drawing/2014/main" id="{00000000-0008-0000-0E00-000030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58769" name="Button 49" hidden="1">
              <a:extLst>
                <a:ext uri="{63B3BB69-23CF-44E3-9099-C40C66FF867C}">
                  <a14:compatExt spid="_x0000_s158769"/>
                </a:ext>
                <a:ext uri="{FF2B5EF4-FFF2-40B4-BE49-F238E27FC236}">
                  <a16:creationId xmlns:a16="http://schemas.microsoft.com/office/drawing/2014/main" id="{00000000-0008-0000-0E00-000031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58770" name="Button 50" hidden="1">
              <a:extLst>
                <a:ext uri="{63B3BB69-23CF-44E3-9099-C40C66FF867C}">
                  <a14:compatExt spid="_x0000_s158770"/>
                </a:ext>
                <a:ext uri="{FF2B5EF4-FFF2-40B4-BE49-F238E27FC236}">
                  <a16:creationId xmlns:a16="http://schemas.microsoft.com/office/drawing/2014/main" id="{00000000-0008-0000-0E00-000032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58771" name="Button 51" hidden="1">
              <a:extLst>
                <a:ext uri="{63B3BB69-23CF-44E3-9099-C40C66FF867C}">
                  <a14:compatExt spid="_x0000_s158771"/>
                </a:ext>
                <a:ext uri="{FF2B5EF4-FFF2-40B4-BE49-F238E27FC236}">
                  <a16:creationId xmlns:a16="http://schemas.microsoft.com/office/drawing/2014/main" id="{00000000-0008-0000-0E00-000033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58772" name="Button 52" hidden="1">
              <a:extLst>
                <a:ext uri="{63B3BB69-23CF-44E3-9099-C40C66FF867C}">
                  <a14:compatExt spid="_x0000_s158772"/>
                </a:ext>
                <a:ext uri="{FF2B5EF4-FFF2-40B4-BE49-F238E27FC236}">
                  <a16:creationId xmlns:a16="http://schemas.microsoft.com/office/drawing/2014/main" id="{00000000-0008-0000-0E00-000034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58773" name="Button 53" hidden="1">
              <a:extLst>
                <a:ext uri="{63B3BB69-23CF-44E3-9099-C40C66FF867C}">
                  <a14:compatExt spid="_x0000_s158773"/>
                </a:ext>
                <a:ext uri="{FF2B5EF4-FFF2-40B4-BE49-F238E27FC236}">
                  <a16:creationId xmlns:a16="http://schemas.microsoft.com/office/drawing/2014/main" id="{00000000-0008-0000-0E00-000035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58774" name="Button 54" hidden="1">
              <a:extLst>
                <a:ext uri="{63B3BB69-23CF-44E3-9099-C40C66FF867C}">
                  <a14:compatExt spid="_x0000_s158774"/>
                </a:ext>
                <a:ext uri="{FF2B5EF4-FFF2-40B4-BE49-F238E27FC236}">
                  <a16:creationId xmlns:a16="http://schemas.microsoft.com/office/drawing/2014/main" id="{00000000-0008-0000-0E00-000036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58775" name="Button 55" hidden="1">
              <a:extLst>
                <a:ext uri="{63B3BB69-23CF-44E3-9099-C40C66FF867C}">
                  <a14:compatExt spid="_x0000_s158775"/>
                </a:ext>
                <a:ext uri="{FF2B5EF4-FFF2-40B4-BE49-F238E27FC236}">
                  <a16:creationId xmlns:a16="http://schemas.microsoft.com/office/drawing/2014/main" id="{00000000-0008-0000-0E00-000037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58776" name="Button 56" hidden="1">
              <a:extLst>
                <a:ext uri="{63B3BB69-23CF-44E3-9099-C40C66FF867C}">
                  <a14:compatExt spid="_x0000_s158776"/>
                </a:ext>
                <a:ext uri="{FF2B5EF4-FFF2-40B4-BE49-F238E27FC236}">
                  <a16:creationId xmlns:a16="http://schemas.microsoft.com/office/drawing/2014/main" id="{00000000-0008-0000-0E00-000038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58777" name="Button 57" hidden="1">
              <a:extLst>
                <a:ext uri="{63B3BB69-23CF-44E3-9099-C40C66FF867C}">
                  <a14:compatExt spid="_x0000_s158777"/>
                </a:ext>
                <a:ext uri="{FF2B5EF4-FFF2-40B4-BE49-F238E27FC236}">
                  <a16:creationId xmlns:a16="http://schemas.microsoft.com/office/drawing/2014/main" id="{00000000-0008-0000-0E00-000039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58778" name="Button 58" hidden="1">
              <a:extLst>
                <a:ext uri="{63B3BB69-23CF-44E3-9099-C40C66FF867C}">
                  <a14:compatExt spid="_x0000_s158778"/>
                </a:ext>
                <a:ext uri="{FF2B5EF4-FFF2-40B4-BE49-F238E27FC236}">
                  <a16:creationId xmlns:a16="http://schemas.microsoft.com/office/drawing/2014/main" id="{00000000-0008-0000-0E00-00003A6C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76801" name="Button 1" hidden="1">
              <a:extLst>
                <a:ext uri="{63B3BB69-23CF-44E3-9099-C40C66FF867C}">
                  <a14:compatExt spid="_x0000_s76801"/>
                </a:ext>
                <a:ext uri="{FF2B5EF4-FFF2-40B4-BE49-F238E27FC236}">
                  <a16:creationId xmlns:a16="http://schemas.microsoft.com/office/drawing/2014/main" id="{00000000-0008-0000-0F00-000001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89</xdr:row>
          <xdr:rowOff>50800</xdr:rowOff>
        </xdr:from>
        <xdr:to>
          <xdr:col>16</xdr:col>
          <xdr:colOff>31750</xdr:colOff>
          <xdr:row>90</xdr:row>
          <xdr:rowOff>88900</xdr:rowOff>
        </xdr:to>
        <xdr:sp macro="" textlink="">
          <xdr:nvSpPr>
            <xdr:cNvPr id="76802" name="Button 2" hidden="1">
              <a:extLst>
                <a:ext uri="{63B3BB69-23CF-44E3-9099-C40C66FF867C}">
                  <a14:compatExt spid="_x0000_s76802"/>
                </a:ext>
                <a:ext uri="{FF2B5EF4-FFF2-40B4-BE49-F238E27FC236}">
                  <a16:creationId xmlns:a16="http://schemas.microsoft.com/office/drawing/2014/main" id="{00000000-0008-0000-0F00-000002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6803" name="Button 3" hidden="1">
              <a:extLst>
                <a:ext uri="{63B3BB69-23CF-44E3-9099-C40C66FF867C}">
                  <a14:compatExt spid="_x0000_s76803"/>
                </a:ext>
                <a:ext uri="{FF2B5EF4-FFF2-40B4-BE49-F238E27FC236}">
                  <a16:creationId xmlns:a16="http://schemas.microsoft.com/office/drawing/2014/main" id="{00000000-0008-0000-0F00-000003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6804" name="Button 4" hidden="1">
              <a:extLst>
                <a:ext uri="{63B3BB69-23CF-44E3-9099-C40C66FF867C}">
                  <a14:compatExt spid="_x0000_s76804"/>
                </a:ext>
                <a:ext uri="{FF2B5EF4-FFF2-40B4-BE49-F238E27FC236}">
                  <a16:creationId xmlns:a16="http://schemas.microsoft.com/office/drawing/2014/main" id="{00000000-0008-0000-0F00-000004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6805" name="Button 5" hidden="1">
              <a:extLst>
                <a:ext uri="{63B3BB69-23CF-44E3-9099-C40C66FF867C}">
                  <a14:compatExt spid="_x0000_s76805"/>
                </a:ext>
                <a:ext uri="{FF2B5EF4-FFF2-40B4-BE49-F238E27FC236}">
                  <a16:creationId xmlns:a16="http://schemas.microsoft.com/office/drawing/2014/main" id="{00000000-0008-0000-0F00-000005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6806" name="Button 6" hidden="1">
              <a:extLst>
                <a:ext uri="{63B3BB69-23CF-44E3-9099-C40C66FF867C}">
                  <a14:compatExt spid="_x0000_s76806"/>
                </a:ext>
                <a:ext uri="{FF2B5EF4-FFF2-40B4-BE49-F238E27FC236}">
                  <a16:creationId xmlns:a16="http://schemas.microsoft.com/office/drawing/2014/main" id="{00000000-0008-0000-0F00-000006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6807" name="Button 7" hidden="1">
              <a:extLst>
                <a:ext uri="{63B3BB69-23CF-44E3-9099-C40C66FF867C}">
                  <a14:compatExt spid="_x0000_s76807"/>
                </a:ext>
                <a:ext uri="{FF2B5EF4-FFF2-40B4-BE49-F238E27FC236}">
                  <a16:creationId xmlns:a16="http://schemas.microsoft.com/office/drawing/2014/main" id="{00000000-0008-0000-0F00-000007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6808" name="Button 8" hidden="1">
              <a:extLst>
                <a:ext uri="{63B3BB69-23CF-44E3-9099-C40C66FF867C}">
                  <a14:compatExt spid="_x0000_s76808"/>
                </a:ext>
                <a:ext uri="{FF2B5EF4-FFF2-40B4-BE49-F238E27FC236}">
                  <a16:creationId xmlns:a16="http://schemas.microsoft.com/office/drawing/2014/main" id="{00000000-0008-0000-0F00-000008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6809" name="Button 9" hidden="1">
              <a:extLst>
                <a:ext uri="{63B3BB69-23CF-44E3-9099-C40C66FF867C}">
                  <a14:compatExt spid="_x0000_s76809"/>
                </a:ext>
                <a:ext uri="{FF2B5EF4-FFF2-40B4-BE49-F238E27FC236}">
                  <a16:creationId xmlns:a16="http://schemas.microsoft.com/office/drawing/2014/main" id="{00000000-0008-0000-0F00-000009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6810" name="Button 10" hidden="1">
              <a:extLst>
                <a:ext uri="{63B3BB69-23CF-44E3-9099-C40C66FF867C}">
                  <a14:compatExt spid="_x0000_s76810"/>
                </a:ext>
                <a:ext uri="{FF2B5EF4-FFF2-40B4-BE49-F238E27FC236}">
                  <a16:creationId xmlns:a16="http://schemas.microsoft.com/office/drawing/2014/main" id="{00000000-0008-0000-0F00-00000A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6811" name="Button 11" hidden="1">
              <a:extLst>
                <a:ext uri="{63B3BB69-23CF-44E3-9099-C40C66FF867C}">
                  <a14:compatExt spid="_x0000_s76811"/>
                </a:ext>
                <a:ext uri="{FF2B5EF4-FFF2-40B4-BE49-F238E27FC236}">
                  <a16:creationId xmlns:a16="http://schemas.microsoft.com/office/drawing/2014/main" id="{00000000-0008-0000-0F00-00000B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6812" name="Button 12" hidden="1">
              <a:extLst>
                <a:ext uri="{63B3BB69-23CF-44E3-9099-C40C66FF867C}">
                  <a14:compatExt spid="_x0000_s76812"/>
                </a:ext>
                <a:ext uri="{FF2B5EF4-FFF2-40B4-BE49-F238E27FC236}">
                  <a16:creationId xmlns:a16="http://schemas.microsoft.com/office/drawing/2014/main" id="{00000000-0008-0000-0F00-00000C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6813" name="Button 13" hidden="1">
              <a:extLst>
                <a:ext uri="{63B3BB69-23CF-44E3-9099-C40C66FF867C}">
                  <a14:compatExt spid="_x0000_s76813"/>
                </a:ext>
                <a:ext uri="{FF2B5EF4-FFF2-40B4-BE49-F238E27FC236}">
                  <a16:creationId xmlns:a16="http://schemas.microsoft.com/office/drawing/2014/main" id="{00000000-0008-0000-0F00-00000D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6814" name="Button 14" hidden="1">
              <a:extLst>
                <a:ext uri="{63B3BB69-23CF-44E3-9099-C40C66FF867C}">
                  <a14:compatExt spid="_x0000_s76814"/>
                </a:ext>
                <a:ext uri="{FF2B5EF4-FFF2-40B4-BE49-F238E27FC236}">
                  <a16:creationId xmlns:a16="http://schemas.microsoft.com/office/drawing/2014/main" id="{00000000-0008-0000-0F00-00000E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6815" name="Button 15" hidden="1">
              <a:extLst>
                <a:ext uri="{63B3BB69-23CF-44E3-9099-C40C66FF867C}">
                  <a14:compatExt spid="_x0000_s76815"/>
                </a:ext>
                <a:ext uri="{FF2B5EF4-FFF2-40B4-BE49-F238E27FC236}">
                  <a16:creationId xmlns:a16="http://schemas.microsoft.com/office/drawing/2014/main" id="{00000000-0008-0000-0F00-00000F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6816" name="Button 16" hidden="1">
              <a:extLst>
                <a:ext uri="{63B3BB69-23CF-44E3-9099-C40C66FF867C}">
                  <a14:compatExt spid="_x0000_s76816"/>
                </a:ext>
                <a:ext uri="{FF2B5EF4-FFF2-40B4-BE49-F238E27FC236}">
                  <a16:creationId xmlns:a16="http://schemas.microsoft.com/office/drawing/2014/main" id="{00000000-0008-0000-0F00-000010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6817" name="Button 17" hidden="1">
              <a:extLst>
                <a:ext uri="{63B3BB69-23CF-44E3-9099-C40C66FF867C}">
                  <a14:compatExt spid="_x0000_s76817"/>
                </a:ext>
                <a:ext uri="{FF2B5EF4-FFF2-40B4-BE49-F238E27FC236}">
                  <a16:creationId xmlns:a16="http://schemas.microsoft.com/office/drawing/2014/main" id="{00000000-0008-0000-0F00-000011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6818" name="Button 18" hidden="1">
              <a:extLst>
                <a:ext uri="{63B3BB69-23CF-44E3-9099-C40C66FF867C}">
                  <a14:compatExt spid="_x0000_s76818"/>
                </a:ext>
                <a:ext uri="{FF2B5EF4-FFF2-40B4-BE49-F238E27FC236}">
                  <a16:creationId xmlns:a16="http://schemas.microsoft.com/office/drawing/2014/main" id="{00000000-0008-0000-0F00-000012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6819" name="Button 19" hidden="1">
              <a:extLst>
                <a:ext uri="{63B3BB69-23CF-44E3-9099-C40C66FF867C}">
                  <a14:compatExt spid="_x0000_s76819"/>
                </a:ext>
                <a:ext uri="{FF2B5EF4-FFF2-40B4-BE49-F238E27FC236}">
                  <a16:creationId xmlns:a16="http://schemas.microsoft.com/office/drawing/2014/main" id="{00000000-0008-0000-0F00-000013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6820" name="Button 20" hidden="1">
              <a:extLst>
                <a:ext uri="{63B3BB69-23CF-44E3-9099-C40C66FF867C}">
                  <a14:compatExt spid="_x0000_s76820"/>
                </a:ext>
                <a:ext uri="{FF2B5EF4-FFF2-40B4-BE49-F238E27FC236}">
                  <a16:creationId xmlns:a16="http://schemas.microsoft.com/office/drawing/2014/main" id="{00000000-0008-0000-0F00-000014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6821" name="Button 21" hidden="1">
              <a:extLst>
                <a:ext uri="{63B3BB69-23CF-44E3-9099-C40C66FF867C}">
                  <a14:compatExt spid="_x0000_s76821"/>
                </a:ext>
                <a:ext uri="{FF2B5EF4-FFF2-40B4-BE49-F238E27FC236}">
                  <a16:creationId xmlns:a16="http://schemas.microsoft.com/office/drawing/2014/main" id="{00000000-0008-0000-0F00-000015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6822" name="Button 22" hidden="1">
              <a:extLst>
                <a:ext uri="{63B3BB69-23CF-44E3-9099-C40C66FF867C}">
                  <a14:compatExt spid="_x0000_s76822"/>
                </a:ext>
                <a:ext uri="{FF2B5EF4-FFF2-40B4-BE49-F238E27FC236}">
                  <a16:creationId xmlns:a16="http://schemas.microsoft.com/office/drawing/2014/main" id="{00000000-0008-0000-0F00-000016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6823" name="Button 23" hidden="1">
              <a:extLst>
                <a:ext uri="{63B3BB69-23CF-44E3-9099-C40C66FF867C}">
                  <a14:compatExt spid="_x0000_s76823"/>
                </a:ext>
                <a:ext uri="{FF2B5EF4-FFF2-40B4-BE49-F238E27FC236}">
                  <a16:creationId xmlns:a16="http://schemas.microsoft.com/office/drawing/2014/main" id="{00000000-0008-0000-0F00-000017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6824" name="Button 24" hidden="1">
              <a:extLst>
                <a:ext uri="{63B3BB69-23CF-44E3-9099-C40C66FF867C}">
                  <a14:compatExt spid="_x0000_s76824"/>
                </a:ext>
                <a:ext uri="{FF2B5EF4-FFF2-40B4-BE49-F238E27FC236}">
                  <a16:creationId xmlns:a16="http://schemas.microsoft.com/office/drawing/2014/main" id="{00000000-0008-0000-0F00-000018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6825" name="Button 25" hidden="1">
              <a:extLst>
                <a:ext uri="{63B3BB69-23CF-44E3-9099-C40C66FF867C}">
                  <a14:compatExt spid="_x0000_s76825"/>
                </a:ext>
                <a:ext uri="{FF2B5EF4-FFF2-40B4-BE49-F238E27FC236}">
                  <a16:creationId xmlns:a16="http://schemas.microsoft.com/office/drawing/2014/main" id="{00000000-0008-0000-0F00-000019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6826" name="Button 26" hidden="1">
              <a:extLst>
                <a:ext uri="{63B3BB69-23CF-44E3-9099-C40C66FF867C}">
                  <a14:compatExt spid="_x0000_s76826"/>
                </a:ext>
                <a:ext uri="{FF2B5EF4-FFF2-40B4-BE49-F238E27FC236}">
                  <a16:creationId xmlns:a16="http://schemas.microsoft.com/office/drawing/2014/main" id="{00000000-0008-0000-0F00-00001A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6827" name="Button 27" hidden="1">
              <a:extLst>
                <a:ext uri="{63B3BB69-23CF-44E3-9099-C40C66FF867C}">
                  <a14:compatExt spid="_x0000_s76827"/>
                </a:ext>
                <a:ext uri="{FF2B5EF4-FFF2-40B4-BE49-F238E27FC236}">
                  <a16:creationId xmlns:a16="http://schemas.microsoft.com/office/drawing/2014/main" id="{00000000-0008-0000-0F00-00001B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6828" name="Button 28" hidden="1">
              <a:extLst>
                <a:ext uri="{63B3BB69-23CF-44E3-9099-C40C66FF867C}">
                  <a14:compatExt spid="_x0000_s76828"/>
                </a:ext>
                <a:ext uri="{FF2B5EF4-FFF2-40B4-BE49-F238E27FC236}">
                  <a16:creationId xmlns:a16="http://schemas.microsoft.com/office/drawing/2014/main" id="{00000000-0008-0000-0F00-00001C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6829" name="Button 29" hidden="1">
              <a:extLst>
                <a:ext uri="{63B3BB69-23CF-44E3-9099-C40C66FF867C}">
                  <a14:compatExt spid="_x0000_s76829"/>
                </a:ext>
                <a:ext uri="{FF2B5EF4-FFF2-40B4-BE49-F238E27FC236}">
                  <a16:creationId xmlns:a16="http://schemas.microsoft.com/office/drawing/2014/main" id="{00000000-0008-0000-0F00-00001D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6830" name="Button 30" hidden="1">
              <a:extLst>
                <a:ext uri="{63B3BB69-23CF-44E3-9099-C40C66FF867C}">
                  <a14:compatExt spid="_x0000_s76830"/>
                </a:ext>
                <a:ext uri="{FF2B5EF4-FFF2-40B4-BE49-F238E27FC236}">
                  <a16:creationId xmlns:a16="http://schemas.microsoft.com/office/drawing/2014/main" id="{00000000-0008-0000-0F00-00001E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6831" name="Button 31" hidden="1">
              <a:extLst>
                <a:ext uri="{63B3BB69-23CF-44E3-9099-C40C66FF867C}">
                  <a14:compatExt spid="_x0000_s76831"/>
                </a:ext>
                <a:ext uri="{FF2B5EF4-FFF2-40B4-BE49-F238E27FC236}">
                  <a16:creationId xmlns:a16="http://schemas.microsoft.com/office/drawing/2014/main" id="{00000000-0008-0000-0F00-00001F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6832" name="Button 32" hidden="1">
              <a:extLst>
                <a:ext uri="{63B3BB69-23CF-44E3-9099-C40C66FF867C}">
                  <a14:compatExt spid="_x0000_s76832"/>
                </a:ext>
                <a:ext uri="{FF2B5EF4-FFF2-40B4-BE49-F238E27FC236}">
                  <a16:creationId xmlns:a16="http://schemas.microsoft.com/office/drawing/2014/main" id="{00000000-0008-0000-0F00-000020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6833" name="Button 33" hidden="1">
              <a:extLst>
                <a:ext uri="{63B3BB69-23CF-44E3-9099-C40C66FF867C}">
                  <a14:compatExt spid="_x0000_s76833"/>
                </a:ext>
                <a:ext uri="{FF2B5EF4-FFF2-40B4-BE49-F238E27FC236}">
                  <a16:creationId xmlns:a16="http://schemas.microsoft.com/office/drawing/2014/main" id="{00000000-0008-0000-0F00-000021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6834" name="Button 34" hidden="1">
              <a:extLst>
                <a:ext uri="{63B3BB69-23CF-44E3-9099-C40C66FF867C}">
                  <a14:compatExt spid="_x0000_s76834"/>
                </a:ext>
                <a:ext uri="{FF2B5EF4-FFF2-40B4-BE49-F238E27FC236}">
                  <a16:creationId xmlns:a16="http://schemas.microsoft.com/office/drawing/2014/main" id="{00000000-0008-0000-0F00-000022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6835" name="Button 35" hidden="1">
              <a:extLst>
                <a:ext uri="{63B3BB69-23CF-44E3-9099-C40C66FF867C}">
                  <a14:compatExt spid="_x0000_s76835"/>
                </a:ext>
                <a:ext uri="{FF2B5EF4-FFF2-40B4-BE49-F238E27FC236}">
                  <a16:creationId xmlns:a16="http://schemas.microsoft.com/office/drawing/2014/main" id="{00000000-0008-0000-0F00-000023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6836" name="Button 36" hidden="1">
              <a:extLst>
                <a:ext uri="{63B3BB69-23CF-44E3-9099-C40C66FF867C}">
                  <a14:compatExt spid="_x0000_s76836"/>
                </a:ext>
                <a:ext uri="{FF2B5EF4-FFF2-40B4-BE49-F238E27FC236}">
                  <a16:creationId xmlns:a16="http://schemas.microsoft.com/office/drawing/2014/main" id="{00000000-0008-0000-0F00-000024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6837" name="Button 37" hidden="1">
              <a:extLst>
                <a:ext uri="{63B3BB69-23CF-44E3-9099-C40C66FF867C}">
                  <a14:compatExt spid="_x0000_s76837"/>
                </a:ext>
                <a:ext uri="{FF2B5EF4-FFF2-40B4-BE49-F238E27FC236}">
                  <a16:creationId xmlns:a16="http://schemas.microsoft.com/office/drawing/2014/main" id="{00000000-0008-0000-0F00-000025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6838" name="Button 38" hidden="1">
              <a:extLst>
                <a:ext uri="{63B3BB69-23CF-44E3-9099-C40C66FF867C}">
                  <a14:compatExt spid="_x0000_s76838"/>
                </a:ext>
                <a:ext uri="{FF2B5EF4-FFF2-40B4-BE49-F238E27FC236}">
                  <a16:creationId xmlns:a16="http://schemas.microsoft.com/office/drawing/2014/main" id="{00000000-0008-0000-0F00-000026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6839" name="Button 39" hidden="1">
              <a:extLst>
                <a:ext uri="{63B3BB69-23CF-44E3-9099-C40C66FF867C}">
                  <a14:compatExt spid="_x0000_s76839"/>
                </a:ext>
                <a:ext uri="{FF2B5EF4-FFF2-40B4-BE49-F238E27FC236}">
                  <a16:creationId xmlns:a16="http://schemas.microsoft.com/office/drawing/2014/main" id="{00000000-0008-0000-0F00-000027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6840" name="Button 40" hidden="1">
              <a:extLst>
                <a:ext uri="{63B3BB69-23CF-44E3-9099-C40C66FF867C}">
                  <a14:compatExt spid="_x0000_s76840"/>
                </a:ext>
                <a:ext uri="{FF2B5EF4-FFF2-40B4-BE49-F238E27FC236}">
                  <a16:creationId xmlns:a16="http://schemas.microsoft.com/office/drawing/2014/main" id="{00000000-0008-0000-0F00-000028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6841" name="Button 41" hidden="1">
              <a:extLst>
                <a:ext uri="{63B3BB69-23CF-44E3-9099-C40C66FF867C}">
                  <a14:compatExt spid="_x0000_s76841"/>
                </a:ext>
                <a:ext uri="{FF2B5EF4-FFF2-40B4-BE49-F238E27FC236}">
                  <a16:creationId xmlns:a16="http://schemas.microsoft.com/office/drawing/2014/main" id="{00000000-0008-0000-0F00-000029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6842" name="Button 42" hidden="1">
              <a:extLst>
                <a:ext uri="{63B3BB69-23CF-44E3-9099-C40C66FF867C}">
                  <a14:compatExt spid="_x0000_s76842"/>
                </a:ext>
                <a:ext uri="{FF2B5EF4-FFF2-40B4-BE49-F238E27FC236}">
                  <a16:creationId xmlns:a16="http://schemas.microsoft.com/office/drawing/2014/main" id="{00000000-0008-0000-0F00-00002A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6843" name="Button 43" hidden="1">
              <a:extLst>
                <a:ext uri="{63B3BB69-23CF-44E3-9099-C40C66FF867C}">
                  <a14:compatExt spid="_x0000_s76843"/>
                </a:ext>
                <a:ext uri="{FF2B5EF4-FFF2-40B4-BE49-F238E27FC236}">
                  <a16:creationId xmlns:a16="http://schemas.microsoft.com/office/drawing/2014/main" id="{00000000-0008-0000-0F00-00002B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6844" name="Button 44" hidden="1">
              <a:extLst>
                <a:ext uri="{63B3BB69-23CF-44E3-9099-C40C66FF867C}">
                  <a14:compatExt spid="_x0000_s76844"/>
                </a:ext>
                <a:ext uri="{FF2B5EF4-FFF2-40B4-BE49-F238E27FC236}">
                  <a16:creationId xmlns:a16="http://schemas.microsoft.com/office/drawing/2014/main" id="{00000000-0008-0000-0F00-00002C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6845" name="Button 45" hidden="1">
              <a:extLst>
                <a:ext uri="{63B3BB69-23CF-44E3-9099-C40C66FF867C}">
                  <a14:compatExt spid="_x0000_s76845"/>
                </a:ext>
                <a:ext uri="{FF2B5EF4-FFF2-40B4-BE49-F238E27FC236}">
                  <a16:creationId xmlns:a16="http://schemas.microsoft.com/office/drawing/2014/main" id="{00000000-0008-0000-0F00-00002D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6846" name="Button 46" hidden="1">
              <a:extLst>
                <a:ext uri="{63B3BB69-23CF-44E3-9099-C40C66FF867C}">
                  <a14:compatExt spid="_x0000_s76846"/>
                </a:ext>
                <a:ext uri="{FF2B5EF4-FFF2-40B4-BE49-F238E27FC236}">
                  <a16:creationId xmlns:a16="http://schemas.microsoft.com/office/drawing/2014/main" id="{00000000-0008-0000-0F00-00002E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6847" name="Button 47" hidden="1">
              <a:extLst>
                <a:ext uri="{63B3BB69-23CF-44E3-9099-C40C66FF867C}">
                  <a14:compatExt spid="_x0000_s76847"/>
                </a:ext>
                <a:ext uri="{FF2B5EF4-FFF2-40B4-BE49-F238E27FC236}">
                  <a16:creationId xmlns:a16="http://schemas.microsoft.com/office/drawing/2014/main" id="{00000000-0008-0000-0F00-00002F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6848" name="Button 48" hidden="1">
              <a:extLst>
                <a:ext uri="{63B3BB69-23CF-44E3-9099-C40C66FF867C}">
                  <a14:compatExt spid="_x0000_s76848"/>
                </a:ext>
                <a:ext uri="{FF2B5EF4-FFF2-40B4-BE49-F238E27FC236}">
                  <a16:creationId xmlns:a16="http://schemas.microsoft.com/office/drawing/2014/main" id="{00000000-0008-0000-0F00-000030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6849" name="Button 49" hidden="1">
              <a:extLst>
                <a:ext uri="{63B3BB69-23CF-44E3-9099-C40C66FF867C}">
                  <a14:compatExt spid="_x0000_s76849"/>
                </a:ext>
                <a:ext uri="{FF2B5EF4-FFF2-40B4-BE49-F238E27FC236}">
                  <a16:creationId xmlns:a16="http://schemas.microsoft.com/office/drawing/2014/main" id="{00000000-0008-0000-0F00-000031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6850" name="Button 50" hidden="1">
              <a:extLst>
                <a:ext uri="{63B3BB69-23CF-44E3-9099-C40C66FF867C}">
                  <a14:compatExt spid="_x0000_s76850"/>
                </a:ext>
                <a:ext uri="{FF2B5EF4-FFF2-40B4-BE49-F238E27FC236}">
                  <a16:creationId xmlns:a16="http://schemas.microsoft.com/office/drawing/2014/main" id="{00000000-0008-0000-0F00-000032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6851" name="Button 51" hidden="1">
              <a:extLst>
                <a:ext uri="{63B3BB69-23CF-44E3-9099-C40C66FF867C}">
                  <a14:compatExt spid="_x0000_s76851"/>
                </a:ext>
                <a:ext uri="{FF2B5EF4-FFF2-40B4-BE49-F238E27FC236}">
                  <a16:creationId xmlns:a16="http://schemas.microsoft.com/office/drawing/2014/main" id="{00000000-0008-0000-0F00-000033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6852" name="Button 52" hidden="1">
              <a:extLst>
                <a:ext uri="{63B3BB69-23CF-44E3-9099-C40C66FF867C}">
                  <a14:compatExt spid="_x0000_s76852"/>
                </a:ext>
                <a:ext uri="{FF2B5EF4-FFF2-40B4-BE49-F238E27FC236}">
                  <a16:creationId xmlns:a16="http://schemas.microsoft.com/office/drawing/2014/main" id="{00000000-0008-0000-0F00-000034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6853" name="Button 53" hidden="1">
              <a:extLst>
                <a:ext uri="{63B3BB69-23CF-44E3-9099-C40C66FF867C}">
                  <a14:compatExt spid="_x0000_s76853"/>
                </a:ext>
                <a:ext uri="{FF2B5EF4-FFF2-40B4-BE49-F238E27FC236}">
                  <a16:creationId xmlns:a16="http://schemas.microsoft.com/office/drawing/2014/main" id="{00000000-0008-0000-0F00-000035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6854" name="Button 54" hidden="1">
              <a:extLst>
                <a:ext uri="{63B3BB69-23CF-44E3-9099-C40C66FF867C}">
                  <a14:compatExt spid="_x0000_s76854"/>
                </a:ext>
                <a:ext uri="{FF2B5EF4-FFF2-40B4-BE49-F238E27FC236}">
                  <a16:creationId xmlns:a16="http://schemas.microsoft.com/office/drawing/2014/main" id="{00000000-0008-0000-0F00-000036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6855" name="Button 55" hidden="1">
              <a:extLst>
                <a:ext uri="{63B3BB69-23CF-44E3-9099-C40C66FF867C}">
                  <a14:compatExt spid="_x0000_s76855"/>
                </a:ext>
                <a:ext uri="{FF2B5EF4-FFF2-40B4-BE49-F238E27FC236}">
                  <a16:creationId xmlns:a16="http://schemas.microsoft.com/office/drawing/2014/main" id="{00000000-0008-0000-0F00-000037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6856" name="Button 56" hidden="1">
              <a:extLst>
                <a:ext uri="{63B3BB69-23CF-44E3-9099-C40C66FF867C}">
                  <a14:compatExt spid="_x0000_s76856"/>
                </a:ext>
                <a:ext uri="{FF2B5EF4-FFF2-40B4-BE49-F238E27FC236}">
                  <a16:creationId xmlns:a16="http://schemas.microsoft.com/office/drawing/2014/main" id="{00000000-0008-0000-0F00-000038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6857" name="Button 57" hidden="1">
              <a:extLst>
                <a:ext uri="{63B3BB69-23CF-44E3-9099-C40C66FF867C}">
                  <a14:compatExt spid="_x0000_s76857"/>
                </a:ext>
                <a:ext uri="{FF2B5EF4-FFF2-40B4-BE49-F238E27FC236}">
                  <a16:creationId xmlns:a16="http://schemas.microsoft.com/office/drawing/2014/main" id="{00000000-0008-0000-0F00-000039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6858" name="Button 58" hidden="1">
              <a:extLst>
                <a:ext uri="{63B3BB69-23CF-44E3-9099-C40C66FF867C}">
                  <a14:compatExt spid="_x0000_s76858"/>
                </a:ext>
                <a:ext uri="{FF2B5EF4-FFF2-40B4-BE49-F238E27FC236}">
                  <a16:creationId xmlns:a16="http://schemas.microsoft.com/office/drawing/2014/main" id="{00000000-0008-0000-0F00-00003A2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77825" name="Button 1" hidden="1">
              <a:extLst>
                <a:ext uri="{63B3BB69-23CF-44E3-9099-C40C66FF867C}">
                  <a14:compatExt spid="_x0000_s77825"/>
                </a:ext>
                <a:ext uri="{FF2B5EF4-FFF2-40B4-BE49-F238E27FC236}">
                  <a16:creationId xmlns:a16="http://schemas.microsoft.com/office/drawing/2014/main" id="{00000000-0008-0000-1000-000001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88</xdr:row>
          <xdr:rowOff>50800</xdr:rowOff>
        </xdr:from>
        <xdr:to>
          <xdr:col>16</xdr:col>
          <xdr:colOff>31750</xdr:colOff>
          <xdr:row>89</xdr:row>
          <xdr:rowOff>88900</xdr:rowOff>
        </xdr:to>
        <xdr:sp macro="" textlink="">
          <xdr:nvSpPr>
            <xdr:cNvPr id="77826" name="Button 2" hidden="1">
              <a:extLst>
                <a:ext uri="{63B3BB69-23CF-44E3-9099-C40C66FF867C}">
                  <a14:compatExt spid="_x0000_s77826"/>
                </a:ext>
                <a:ext uri="{FF2B5EF4-FFF2-40B4-BE49-F238E27FC236}">
                  <a16:creationId xmlns:a16="http://schemas.microsoft.com/office/drawing/2014/main" id="{00000000-0008-0000-1000-000002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7827" name="Button 3" hidden="1">
              <a:extLst>
                <a:ext uri="{63B3BB69-23CF-44E3-9099-C40C66FF867C}">
                  <a14:compatExt spid="_x0000_s77827"/>
                </a:ext>
                <a:ext uri="{FF2B5EF4-FFF2-40B4-BE49-F238E27FC236}">
                  <a16:creationId xmlns:a16="http://schemas.microsoft.com/office/drawing/2014/main" id="{00000000-0008-0000-1000-000003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7828" name="Button 4" hidden="1">
              <a:extLst>
                <a:ext uri="{63B3BB69-23CF-44E3-9099-C40C66FF867C}">
                  <a14:compatExt spid="_x0000_s77828"/>
                </a:ext>
                <a:ext uri="{FF2B5EF4-FFF2-40B4-BE49-F238E27FC236}">
                  <a16:creationId xmlns:a16="http://schemas.microsoft.com/office/drawing/2014/main" id="{00000000-0008-0000-1000-000004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7829" name="Button 5" hidden="1">
              <a:extLst>
                <a:ext uri="{63B3BB69-23CF-44E3-9099-C40C66FF867C}">
                  <a14:compatExt spid="_x0000_s77829"/>
                </a:ext>
                <a:ext uri="{FF2B5EF4-FFF2-40B4-BE49-F238E27FC236}">
                  <a16:creationId xmlns:a16="http://schemas.microsoft.com/office/drawing/2014/main" id="{00000000-0008-0000-1000-000005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7830" name="Button 6" hidden="1">
              <a:extLst>
                <a:ext uri="{63B3BB69-23CF-44E3-9099-C40C66FF867C}">
                  <a14:compatExt spid="_x0000_s77830"/>
                </a:ext>
                <a:ext uri="{FF2B5EF4-FFF2-40B4-BE49-F238E27FC236}">
                  <a16:creationId xmlns:a16="http://schemas.microsoft.com/office/drawing/2014/main" id="{00000000-0008-0000-1000-000006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7831" name="Button 7" hidden="1">
              <a:extLst>
                <a:ext uri="{63B3BB69-23CF-44E3-9099-C40C66FF867C}">
                  <a14:compatExt spid="_x0000_s77831"/>
                </a:ext>
                <a:ext uri="{FF2B5EF4-FFF2-40B4-BE49-F238E27FC236}">
                  <a16:creationId xmlns:a16="http://schemas.microsoft.com/office/drawing/2014/main" id="{00000000-0008-0000-1000-000007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7832" name="Button 8" hidden="1">
              <a:extLst>
                <a:ext uri="{63B3BB69-23CF-44E3-9099-C40C66FF867C}">
                  <a14:compatExt spid="_x0000_s77832"/>
                </a:ext>
                <a:ext uri="{FF2B5EF4-FFF2-40B4-BE49-F238E27FC236}">
                  <a16:creationId xmlns:a16="http://schemas.microsoft.com/office/drawing/2014/main" id="{00000000-0008-0000-1000-000008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7833" name="Button 9" hidden="1">
              <a:extLst>
                <a:ext uri="{63B3BB69-23CF-44E3-9099-C40C66FF867C}">
                  <a14:compatExt spid="_x0000_s77833"/>
                </a:ext>
                <a:ext uri="{FF2B5EF4-FFF2-40B4-BE49-F238E27FC236}">
                  <a16:creationId xmlns:a16="http://schemas.microsoft.com/office/drawing/2014/main" id="{00000000-0008-0000-1000-000009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77834" name="Button 10" hidden="1">
              <a:extLst>
                <a:ext uri="{63B3BB69-23CF-44E3-9099-C40C66FF867C}">
                  <a14:compatExt spid="_x0000_s77834"/>
                </a:ext>
                <a:ext uri="{FF2B5EF4-FFF2-40B4-BE49-F238E27FC236}">
                  <a16:creationId xmlns:a16="http://schemas.microsoft.com/office/drawing/2014/main" id="{00000000-0008-0000-1000-00000A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7835" name="Button 11" hidden="1">
              <a:extLst>
                <a:ext uri="{63B3BB69-23CF-44E3-9099-C40C66FF867C}">
                  <a14:compatExt spid="_x0000_s77835"/>
                </a:ext>
                <a:ext uri="{FF2B5EF4-FFF2-40B4-BE49-F238E27FC236}">
                  <a16:creationId xmlns:a16="http://schemas.microsoft.com/office/drawing/2014/main" id="{00000000-0008-0000-1000-00000B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7836" name="Button 12" hidden="1">
              <a:extLst>
                <a:ext uri="{63B3BB69-23CF-44E3-9099-C40C66FF867C}">
                  <a14:compatExt spid="_x0000_s77836"/>
                </a:ext>
                <a:ext uri="{FF2B5EF4-FFF2-40B4-BE49-F238E27FC236}">
                  <a16:creationId xmlns:a16="http://schemas.microsoft.com/office/drawing/2014/main" id="{00000000-0008-0000-1000-00000C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7837" name="Button 13" hidden="1">
              <a:extLst>
                <a:ext uri="{63B3BB69-23CF-44E3-9099-C40C66FF867C}">
                  <a14:compatExt spid="_x0000_s77837"/>
                </a:ext>
                <a:ext uri="{FF2B5EF4-FFF2-40B4-BE49-F238E27FC236}">
                  <a16:creationId xmlns:a16="http://schemas.microsoft.com/office/drawing/2014/main" id="{00000000-0008-0000-1000-00000D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77838" name="Button 14" hidden="1">
              <a:extLst>
                <a:ext uri="{63B3BB69-23CF-44E3-9099-C40C66FF867C}">
                  <a14:compatExt spid="_x0000_s77838"/>
                </a:ext>
                <a:ext uri="{FF2B5EF4-FFF2-40B4-BE49-F238E27FC236}">
                  <a16:creationId xmlns:a16="http://schemas.microsoft.com/office/drawing/2014/main" id="{00000000-0008-0000-1000-00000E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7839" name="Button 15" hidden="1">
              <a:extLst>
                <a:ext uri="{63B3BB69-23CF-44E3-9099-C40C66FF867C}">
                  <a14:compatExt spid="_x0000_s77839"/>
                </a:ext>
                <a:ext uri="{FF2B5EF4-FFF2-40B4-BE49-F238E27FC236}">
                  <a16:creationId xmlns:a16="http://schemas.microsoft.com/office/drawing/2014/main" id="{00000000-0008-0000-1000-00000F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7840" name="Button 16" hidden="1">
              <a:extLst>
                <a:ext uri="{63B3BB69-23CF-44E3-9099-C40C66FF867C}">
                  <a14:compatExt spid="_x0000_s77840"/>
                </a:ext>
                <a:ext uri="{FF2B5EF4-FFF2-40B4-BE49-F238E27FC236}">
                  <a16:creationId xmlns:a16="http://schemas.microsoft.com/office/drawing/2014/main" id="{00000000-0008-0000-1000-000010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7841" name="Button 17" hidden="1">
              <a:extLst>
                <a:ext uri="{63B3BB69-23CF-44E3-9099-C40C66FF867C}">
                  <a14:compatExt spid="_x0000_s77841"/>
                </a:ext>
                <a:ext uri="{FF2B5EF4-FFF2-40B4-BE49-F238E27FC236}">
                  <a16:creationId xmlns:a16="http://schemas.microsoft.com/office/drawing/2014/main" id="{00000000-0008-0000-1000-000011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77842" name="Button 18" hidden="1">
              <a:extLst>
                <a:ext uri="{63B3BB69-23CF-44E3-9099-C40C66FF867C}">
                  <a14:compatExt spid="_x0000_s77842"/>
                </a:ext>
                <a:ext uri="{FF2B5EF4-FFF2-40B4-BE49-F238E27FC236}">
                  <a16:creationId xmlns:a16="http://schemas.microsoft.com/office/drawing/2014/main" id="{00000000-0008-0000-1000-000012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7843" name="Button 19" hidden="1">
              <a:extLst>
                <a:ext uri="{63B3BB69-23CF-44E3-9099-C40C66FF867C}">
                  <a14:compatExt spid="_x0000_s77843"/>
                </a:ext>
                <a:ext uri="{FF2B5EF4-FFF2-40B4-BE49-F238E27FC236}">
                  <a16:creationId xmlns:a16="http://schemas.microsoft.com/office/drawing/2014/main" id="{00000000-0008-0000-1000-000013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7844" name="Button 20" hidden="1">
              <a:extLst>
                <a:ext uri="{63B3BB69-23CF-44E3-9099-C40C66FF867C}">
                  <a14:compatExt spid="_x0000_s77844"/>
                </a:ext>
                <a:ext uri="{FF2B5EF4-FFF2-40B4-BE49-F238E27FC236}">
                  <a16:creationId xmlns:a16="http://schemas.microsoft.com/office/drawing/2014/main" id="{00000000-0008-0000-1000-000014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7845" name="Button 21" hidden="1">
              <a:extLst>
                <a:ext uri="{63B3BB69-23CF-44E3-9099-C40C66FF867C}">
                  <a14:compatExt spid="_x0000_s77845"/>
                </a:ext>
                <a:ext uri="{FF2B5EF4-FFF2-40B4-BE49-F238E27FC236}">
                  <a16:creationId xmlns:a16="http://schemas.microsoft.com/office/drawing/2014/main" id="{00000000-0008-0000-1000-000015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77846" name="Button 22" hidden="1">
              <a:extLst>
                <a:ext uri="{63B3BB69-23CF-44E3-9099-C40C66FF867C}">
                  <a14:compatExt spid="_x0000_s77846"/>
                </a:ext>
                <a:ext uri="{FF2B5EF4-FFF2-40B4-BE49-F238E27FC236}">
                  <a16:creationId xmlns:a16="http://schemas.microsoft.com/office/drawing/2014/main" id="{00000000-0008-0000-1000-000016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7847" name="Button 23" hidden="1">
              <a:extLst>
                <a:ext uri="{63B3BB69-23CF-44E3-9099-C40C66FF867C}">
                  <a14:compatExt spid="_x0000_s77847"/>
                </a:ext>
                <a:ext uri="{FF2B5EF4-FFF2-40B4-BE49-F238E27FC236}">
                  <a16:creationId xmlns:a16="http://schemas.microsoft.com/office/drawing/2014/main" id="{00000000-0008-0000-1000-000017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7848" name="Button 24" hidden="1">
              <a:extLst>
                <a:ext uri="{63B3BB69-23CF-44E3-9099-C40C66FF867C}">
                  <a14:compatExt spid="_x0000_s77848"/>
                </a:ext>
                <a:ext uri="{FF2B5EF4-FFF2-40B4-BE49-F238E27FC236}">
                  <a16:creationId xmlns:a16="http://schemas.microsoft.com/office/drawing/2014/main" id="{00000000-0008-0000-1000-000018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7849" name="Button 25" hidden="1">
              <a:extLst>
                <a:ext uri="{63B3BB69-23CF-44E3-9099-C40C66FF867C}">
                  <a14:compatExt spid="_x0000_s77849"/>
                </a:ext>
                <a:ext uri="{FF2B5EF4-FFF2-40B4-BE49-F238E27FC236}">
                  <a16:creationId xmlns:a16="http://schemas.microsoft.com/office/drawing/2014/main" id="{00000000-0008-0000-1000-000019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77850" name="Button 26" hidden="1">
              <a:extLst>
                <a:ext uri="{63B3BB69-23CF-44E3-9099-C40C66FF867C}">
                  <a14:compatExt spid="_x0000_s77850"/>
                </a:ext>
                <a:ext uri="{FF2B5EF4-FFF2-40B4-BE49-F238E27FC236}">
                  <a16:creationId xmlns:a16="http://schemas.microsoft.com/office/drawing/2014/main" id="{00000000-0008-0000-1000-00001A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7851" name="Button 27" hidden="1">
              <a:extLst>
                <a:ext uri="{63B3BB69-23CF-44E3-9099-C40C66FF867C}">
                  <a14:compatExt spid="_x0000_s77851"/>
                </a:ext>
                <a:ext uri="{FF2B5EF4-FFF2-40B4-BE49-F238E27FC236}">
                  <a16:creationId xmlns:a16="http://schemas.microsoft.com/office/drawing/2014/main" id="{00000000-0008-0000-1000-00001B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7852" name="Button 28" hidden="1">
              <a:extLst>
                <a:ext uri="{63B3BB69-23CF-44E3-9099-C40C66FF867C}">
                  <a14:compatExt spid="_x0000_s77852"/>
                </a:ext>
                <a:ext uri="{FF2B5EF4-FFF2-40B4-BE49-F238E27FC236}">
                  <a16:creationId xmlns:a16="http://schemas.microsoft.com/office/drawing/2014/main" id="{00000000-0008-0000-1000-00001C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7853" name="Button 29" hidden="1">
              <a:extLst>
                <a:ext uri="{63B3BB69-23CF-44E3-9099-C40C66FF867C}">
                  <a14:compatExt spid="_x0000_s77853"/>
                </a:ext>
                <a:ext uri="{FF2B5EF4-FFF2-40B4-BE49-F238E27FC236}">
                  <a16:creationId xmlns:a16="http://schemas.microsoft.com/office/drawing/2014/main" id="{00000000-0008-0000-1000-00001D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77854" name="Button 30" hidden="1">
              <a:extLst>
                <a:ext uri="{63B3BB69-23CF-44E3-9099-C40C66FF867C}">
                  <a14:compatExt spid="_x0000_s77854"/>
                </a:ext>
                <a:ext uri="{FF2B5EF4-FFF2-40B4-BE49-F238E27FC236}">
                  <a16:creationId xmlns:a16="http://schemas.microsoft.com/office/drawing/2014/main" id="{00000000-0008-0000-1000-00001E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7855" name="Button 31" hidden="1">
              <a:extLst>
                <a:ext uri="{63B3BB69-23CF-44E3-9099-C40C66FF867C}">
                  <a14:compatExt spid="_x0000_s77855"/>
                </a:ext>
                <a:ext uri="{FF2B5EF4-FFF2-40B4-BE49-F238E27FC236}">
                  <a16:creationId xmlns:a16="http://schemas.microsoft.com/office/drawing/2014/main" id="{00000000-0008-0000-1000-00001F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7856" name="Button 32" hidden="1">
              <a:extLst>
                <a:ext uri="{63B3BB69-23CF-44E3-9099-C40C66FF867C}">
                  <a14:compatExt spid="_x0000_s77856"/>
                </a:ext>
                <a:ext uri="{FF2B5EF4-FFF2-40B4-BE49-F238E27FC236}">
                  <a16:creationId xmlns:a16="http://schemas.microsoft.com/office/drawing/2014/main" id="{00000000-0008-0000-1000-000020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7857" name="Button 33" hidden="1">
              <a:extLst>
                <a:ext uri="{63B3BB69-23CF-44E3-9099-C40C66FF867C}">
                  <a14:compatExt spid="_x0000_s77857"/>
                </a:ext>
                <a:ext uri="{FF2B5EF4-FFF2-40B4-BE49-F238E27FC236}">
                  <a16:creationId xmlns:a16="http://schemas.microsoft.com/office/drawing/2014/main" id="{00000000-0008-0000-1000-000021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77858" name="Button 34" hidden="1">
              <a:extLst>
                <a:ext uri="{63B3BB69-23CF-44E3-9099-C40C66FF867C}">
                  <a14:compatExt spid="_x0000_s77858"/>
                </a:ext>
                <a:ext uri="{FF2B5EF4-FFF2-40B4-BE49-F238E27FC236}">
                  <a16:creationId xmlns:a16="http://schemas.microsoft.com/office/drawing/2014/main" id="{00000000-0008-0000-1000-000022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7859" name="Button 35" hidden="1">
              <a:extLst>
                <a:ext uri="{63B3BB69-23CF-44E3-9099-C40C66FF867C}">
                  <a14:compatExt spid="_x0000_s77859"/>
                </a:ext>
                <a:ext uri="{FF2B5EF4-FFF2-40B4-BE49-F238E27FC236}">
                  <a16:creationId xmlns:a16="http://schemas.microsoft.com/office/drawing/2014/main" id="{00000000-0008-0000-1000-000023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7860" name="Button 36" hidden="1">
              <a:extLst>
                <a:ext uri="{63B3BB69-23CF-44E3-9099-C40C66FF867C}">
                  <a14:compatExt spid="_x0000_s77860"/>
                </a:ext>
                <a:ext uri="{FF2B5EF4-FFF2-40B4-BE49-F238E27FC236}">
                  <a16:creationId xmlns:a16="http://schemas.microsoft.com/office/drawing/2014/main" id="{00000000-0008-0000-1000-000024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7861" name="Button 37" hidden="1">
              <a:extLst>
                <a:ext uri="{63B3BB69-23CF-44E3-9099-C40C66FF867C}">
                  <a14:compatExt spid="_x0000_s77861"/>
                </a:ext>
                <a:ext uri="{FF2B5EF4-FFF2-40B4-BE49-F238E27FC236}">
                  <a16:creationId xmlns:a16="http://schemas.microsoft.com/office/drawing/2014/main" id="{00000000-0008-0000-1000-000025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77862" name="Button 38" hidden="1">
              <a:extLst>
                <a:ext uri="{63B3BB69-23CF-44E3-9099-C40C66FF867C}">
                  <a14:compatExt spid="_x0000_s77862"/>
                </a:ext>
                <a:ext uri="{FF2B5EF4-FFF2-40B4-BE49-F238E27FC236}">
                  <a16:creationId xmlns:a16="http://schemas.microsoft.com/office/drawing/2014/main" id="{00000000-0008-0000-1000-000026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7863" name="Button 39" hidden="1">
              <a:extLst>
                <a:ext uri="{63B3BB69-23CF-44E3-9099-C40C66FF867C}">
                  <a14:compatExt spid="_x0000_s77863"/>
                </a:ext>
                <a:ext uri="{FF2B5EF4-FFF2-40B4-BE49-F238E27FC236}">
                  <a16:creationId xmlns:a16="http://schemas.microsoft.com/office/drawing/2014/main" id="{00000000-0008-0000-1000-000027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7864" name="Button 40" hidden="1">
              <a:extLst>
                <a:ext uri="{63B3BB69-23CF-44E3-9099-C40C66FF867C}">
                  <a14:compatExt spid="_x0000_s77864"/>
                </a:ext>
                <a:ext uri="{FF2B5EF4-FFF2-40B4-BE49-F238E27FC236}">
                  <a16:creationId xmlns:a16="http://schemas.microsoft.com/office/drawing/2014/main" id="{00000000-0008-0000-1000-000028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7865" name="Button 41" hidden="1">
              <a:extLst>
                <a:ext uri="{63B3BB69-23CF-44E3-9099-C40C66FF867C}">
                  <a14:compatExt spid="_x0000_s77865"/>
                </a:ext>
                <a:ext uri="{FF2B5EF4-FFF2-40B4-BE49-F238E27FC236}">
                  <a16:creationId xmlns:a16="http://schemas.microsoft.com/office/drawing/2014/main" id="{00000000-0008-0000-1000-000029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77866" name="Button 42" hidden="1">
              <a:extLst>
                <a:ext uri="{63B3BB69-23CF-44E3-9099-C40C66FF867C}">
                  <a14:compatExt spid="_x0000_s77866"/>
                </a:ext>
                <a:ext uri="{FF2B5EF4-FFF2-40B4-BE49-F238E27FC236}">
                  <a16:creationId xmlns:a16="http://schemas.microsoft.com/office/drawing/2014/main" id="{00000000-0008-0000-1000-00002A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7867" name="Button 43" hidden="1">
              <a:extLst>
                <a:ext uri="{63B3BB69-23CF-44E3-9099-C40C66FF867C}">
                  <a14:compatExt spid="_x0000_s77867"/>
                </a:ext>
                <a:ext uri="{FF2B5EF4-FFF2-40B4-BE49-F238E27FC236}">
                  <a16:creationId xmlns:a16="http://schemas.microsoft.com/office/drawing/2014/main" id="{00000000-0008-0000-1000-00002B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7868" name="Button 44" hidden="1">
              <a:extLst>
                <a:ext uri="{63B3BB69-23CF-44E3-9099-C40C66FF867C}">
                  <a14:compatExt spid="_x0000_s77868"/>
                </a:ext>
                <a:ext uri="{FF2B5EF4-FFF2-40B4-BE49-F238E27FC236}">
                  <a16:creationId xmlns:a16="http://schemas.microsoft.com/office/drawing/2014/main" id="{00000000-0008-0000-1000-00002C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7869" name="Button 45" hidden="1">
              <a:extLst>
                <a:ext uri="{63B3BB69-23CF-44E3-9099-C40C66FF867C}">
                  <a14:compatExt spid="_x0000_s77869"/>
                </a:ext>
                <a:ext uri="{FF2B5EF4-FFF2-40B4-BE49-F238E27FC236}">
                  <a16:creationId xmlns:a16="http://schemas.microsoft.com/office/drawing/2014/main" id="{00000000-0008-0000-1000-00002D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77870" name="Button 46" hidden="1">
              <a:extLst>
                <a:ext uri="{63B3BB69-23CF-44E3-9099-C40C66FF867C}">
                  <a14:compatExt spid="_x0000_s77870"/>
                </a:ext>
                <a:ext uri="{FF2B5EF4-FFF2-40B4-BE49-F238E27FC236}">
                  <a16:creationId xmlns:a16="http://schemas.microsoft.com/office/drawing/2014/main" id="{00000000-0008-0000-1000-00002E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7871" name="Button 47" hidden="1">
              <a:extLst>
                <a:ext uri="{63B3BB69-23CF-44E3-9099-C40C66FF867C}">
                  <a14:compatExt spid="_x0000_s77871"/>
                </a:ext>
                <a:ext uri="{FF2B5EF4-FFF2-40B4-BE49-F238E27FC236}">
                  <a16:creationId xmlns:a16="http://schemas.microsoft.com/office/drawing/2014/main" id="{00000000-0008-0000-1000-00002F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7872" name="Button 48" hidden="1">
              <a:extLst>
                <a:ext uri="{63B3BB69-23CF-44E3-9099-C40C66FF867C}">
                  <a14:compatExt spid="_x0000_s77872"/>
                </a:ext>
                <a:ext uri="{FF2B5EF4-FFF2-40B4-BE49-F238E27FC236}">
                  <a16:creationId xmlns:a16="http://schemas.microsoft.com/office/drawing/2014/main" id="{00000000-0008-0000-1000-000030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7873" name="Button 49" hidden="1">
              <a:extLst>
                <a:ext uri="{63B3BB69-23CF-44E3-9099-C40C66FF867C}">
                  <a14:compatExt spid="_x0000_s77873"/>
                </a:ext>
                <a:ext uri="{FF2B5EF4-FFF2-40B4-BE49-F238E27FC236}">
                  <a16:creationId xmlns:a16="http://schemas.microsoft.com/office/drawing/2014/main" id="{00000000-0008-0000-1000-000031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77874" name="Button 50" hidden="1">
              <a:extLst>
                <a:ext uri="{63B3BB69-23CF-44E3-9099-C40C66FF867C}">
                  <a14:compatExt spid="_x0000_s77874"/>
                </a:ext>
                <a:ext uri="{FF2B5EF4-FFF2-40B4-BE49-F238E27FC236}">
                  <a16:creationId xmlns:a16="http://schemas.microsoft.com/office/drawing/2014/main" id="{00000000-0008-0000-1000-000032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7875" name="Button 51" hidden="1">
              <a:extLst>
                <a:ext uri="{63B3BB69-23CF-44E3-9099-C40C66FF867C}">
                  <a14:compatExt spid="_x0000_s77875"/>
                </a:ext>
                <a:ext uri="{FF2B5EF4-FFF2-40B4-BE49-F238E27FC236}">
                  <a16:creationId xmlns:a16="http://schemas.microsoft.com/office/drawing/2014/main" id="{00000000-0008-0000-1000-000033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7876" name="Button 52" hidden="1">
              <a:extLst>
                <a:ext uri="{63B3BB69-23CF-44E3-9099-C40C66FF867C}">
                  <a14:compatExt spid="_x0000_s77876"/>
                </a:ext>
                <a:ext uri="{FF2B5EF4-FFF2-40B4-BE49-F238E27FC236}">
                  <a16:creationId xmlns:a16="http://schemas.microsoft.com/office/drawing/2014/main" id="{00000000-0008-0000-1000-000034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7877" name="Button 53" hidden="1">
              <a:extLst>
                <a:ext uri="{63B3BB69-23CF-44E3-9099-C40C66FF867C}">
                  <a14:compatExt spid="_x0000_s77877"/>
                </a:ext>
                <a:ext uri="{FF2B5EF4-FFF2-40B4-BE49-F238E27FC236}">
                  <a16:creationId xmlns:a16="http://schemas.microsoft.com/office/drawing/2014/main" id="{00000000-0008-0000-1000-000035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77878" name="Button 54" hidden="1">
              <a:extLst>
                <a:ext uri="{63B3BB69-23CF-44E3-9099-C40C66FF867C}">
                  <a14:compatExt spid="_x0000_s77878"/>
                </a:ext>
                <a:ext uri="{FF2B5EF4-FFF2-40B4-BE49-F238E27FC236}">
                  <a16:creationId xmlns:a16="http://schemas.microsoft.com/office/drawing/2014/main" id="{00000000-0008-0000-1000-000036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7879" name="Button 55" hidden="1">
              <a:extLst>
                <a:ext uri="{63B3BB69-23CF-44E3-9099-C40C66FF867C}">
                  <a14:compatExt spid="_x0000_s77879"/>
                </a:ext>
                <a:ext uri="{FF2B5EF4-FFF2-40B4-BE49-F238E27FC236}">
                  <a16:creationId xmlns:a16="http://schemas.microsoft.com/office/drawing/2014/main" id="{00000000-0008-0000-1000-000037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7880" name="Button 56" hidden="1">
              <a:extLst>
                <a:ext uri="{63B3BB69-23CF-44E3-9099-C40C66FF867C}">
                  <a14:compatExt spid="_x0000_s77880"/>
                </a:ext>
                <a:ext uri="{FF2B5EF4-FFF2-40B4-BE49-F238E27FC236}">
                  <a16:creationId xmlns:a16="http://schemas.microsoft.com/office/drawing/2014/main" id="{00000000-0008-0000-1000-000038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7881" name="Button 57" hidden="1">
              <a:extLst>
                <a:ext uri="{63B3BB69-23CF-44E3-9099-C40C66FF867C}">
                  <a14:compatExt spid="_x0000_s77881"/>
                </a:ext>
                <a:ext uri="{FF2B5EF4-FFF2-40B4-BE49-F238E27FC236}">
                  <a16:creationId xmlns:a16="http://schemas.microsoft.com/office/drawing/2014/main" id="{00000000-0008-0000-1000-000039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77882" name="Button 58" hidden="1">
              <a:extLst>
                <a:ext uri="{63B3BB69-23CF-44E3-9099-C40C66FF867C}">
                  <a14:compatExt spid="_x0000_s77882"/>
                </a:ext>
                <a:ext uri="{FF2B5EF4-FFF2-40B4-BE49-F238E27FC236}">
                  <a16:creationId xmlns:a16="http://schemas.microsoft.com/office/drawing/2014/main" id="{00000000-0008-0000-1000-00003A3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8849" name="Button 1" hidden="1">
              <a:extLst>
                <a:ext uri="{63B3BB69-23CF-44E3-9099-C40C66FF867C}">
                  <a14:compatExt spid="_x0000_s78849"/>
                </a:ext>
                <a:ext uri="{FF2B5EF4-FFF2-40B4-BE49-F238E27FC236}">
                  <a16:creationId xmlns:a16="http://schemas.microsoft.com/office/drawing/2014/main" id="{00000000-0008-0000-1100-0000013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393700</xdr:colOff>
          <xdr:row>81</xdr:row>
          <xdr:rowOff>38100</xdr:rowOff>
        </xdr:from>
        <xdr:to>
          <xdr:col>30</xdr:col>
          <xdr:colOff>165100</xdr:colOff>
          <xdr:row>82</xdr:row>
          <xdr:rowOff>88900</xdr:rowOff>
        </xdr:to>
        <xdr:sp macro="" textlink="">
          <xdr:nvSpPr>
            <xdr:cNvPr id="78850" name="Button 2" hidden="1">
              <a:extLst>
                <a:ext uri="{63B3BB69-23CF-44E3-9099-C40C66FF867C}">
                  <a14:compatExt spid="_x0000_s78850"/>
                </a:ext>
                <a:ext uri="{FF2B5EF4-FFF2-40B4-BE49-F238E27FC236}">
                  <a16:creationId xmlns:a16="http://schemas.microsoft.com/office/drawing/2014/main" id="{00000000-0008-0000-1100-0000023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9873" name="Button 1" hidden="1">
              <a:extLst>
                <a:ext uri="{63B3BB69-23CF-44E3-9099-C40C66FF867C}">
                  <a14:compatExt spid="_x0000_s79873"/>
                </a:ext>
                <a:ext uri="{FF2B5EF4-FFF2-40B4-BE49-F238E27FC236}">
                  <a16:creationId xmlns:a16="http://schemas.microsoft.com/office/drawing/2014/main" id="{00000000-0008-0000-1200-0000013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9874" name="Button 2" hidden="1">
              <a:extLst>
                <a:ext uri="{63B3BB69-23CF-44E3-9099-C40C66FF867C}">
                  <a14:compatExt spid="_x0000_s79874"/>
                </a:ext>
                <a:ext uri="{FF2B5EF4-FFF2-40B4-BE49-F238E27FC236}">
                  <a16:creationId xmlns:a16="http://schemas.microsoft.com/office/drawing/2014/main" id="{00000000-0008-0000-1200-0000023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9875" name="Button 3" hidden="1">
              <a:extLst>
                <a:ext uri="{63B3BB69-23CF-44E3-9099-C40C66FF867C}">
                  <a14:compatExt spid="_x0000_s79875"/>
                </a:ext>
                <a:ext uri="{FF2B5EF4-FFF2-40B4-BE49-F238E27FC236}">
                  <a16:creationId xmlns:a16="http://schemas.microsoft.com/office/drawing/2014/main" id="{00000000-0008-0000-1200-0000033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31750</xdr:rowOff>
        </xdr:from>
        <xdr:to>
          <xdr:col>0</xdr:col>
          <xdr:colOff>381000</xdr:colOff>
          <xdr:row>0</xdr:row>
          <xdr:rowOff>165100</xdr:rowOff>
        </xdr:to>
        <xdr:sp macro="" textlink="">
          <xdr:nvSpPr>
            <xdr:cNvPr id="80897" name="Button 1" hidden="1">
              <a:extLst>
                <a:ext uri="{63B3BB69-23CF-44E3-9099-C40C66FF867C}">
                  <a14:compatExt spid="_x0000_s80897"/>
                </a:ext>
                <a:ext uri="{FF2B5EF4-FFF2-40B4-BE49-F238E27FC236}">
                  <a16:creationId xmlns:a16="http://schemas.microsoft.com/office/drawing/2014/main" id="{00000000-0008-0000-1300-0000013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68</xdr:row>
          <xdr:rowOff>50800</xdr:rowOff>
        </xdr:from>
        <xdr:to>
          <xdr:col>15</xdr:col>
          <xdr:colOff>546100</xdr:colOff>
          <xdr:row>69</xdr:row>
          <xdr:rowOff>107950</xdr:rowOff>
        </xdr:to>
        <xdr:sp macro="" textlink="">
          <xdr:nvSpPr>
            <xdr:cNvPr id="80898" name="Button 2" hidden="1">
              <a:extLst>
                <a:ext uri="{63B3BB69-23CF-44E3-9099-C40C66FF867C}">
                  <a14:compatExt spid="_x0000_s80898"/>
                </a:ext>
                <a:ext uri="{FF2B5EF4-FFF2-40B4-BE49-F238E27FC236}">
                  <a16:creationId xmlns:a16="http://schemas.microsoft.com/office/drawing/2014/main" id="{00000000-0008-0000-1300-0000023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80899" name="Button 3" hidden="1">
              <a:extLst>
                <a:ext uri="{63B3BB69-23CF-44E3-9099-C40C66FF867C}">
                  <a14:compatExt spid="_x0000_s80899"/>
                </a:ext>
                <a:ext uri="{FF2B5EF4-FFF2-40B4-BE49-F238E27FC236}">
                  <a16:creationId xmlns:a16="http://schemas.microsoft.com/office/drawing/2014/main" id="{00000000-0008-0000-1300-0000033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80900" name="Button 4" hidden="1">
              <a:extLst>
                <a:ext uri="{63B3BB69-23CF-44E3-9099-C40C66FF867C}">
                  <a14:compatExt spid="_x0000_s80900"/>
                </a:ext>
                <a:ext uri="{FF2B5EF4-FFF2-40B4-BE49-F238E27FC236}">
                  <a16:creationId xmlns:a16="http://schemas.microsoft.com/office/drawing/2014/main" id="{00000000-0008-0000-1300-0000043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80901" name="Button 5" hidden="1">
              <a:extLst>
                <a:ext uri="{63B3BB69-23CF-44E3-9099-C40C66FF867C}">
                  <a14:compatExt spid="_x0000_s80901"/>
                </a:ext>
                <a:ext uri="{FF2B5EF4-FFF2-40B4-BE49-F238E27FC236}">
                  <a16:creationId xmlns:a16="http://schemas.microsoft.com/office/drawing/2014/main" id="{00000000-0008-0000-1300-0000053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80902" name="Button 6" hidden="1">
              <a:extLst>
                <a:ext uri="{63B3BB69-23CF-44E3-9099-C40C66FF867C}">
                  <a14:compatExt spid="_x0000_s80902"/>
                </a:ext>
                <a:ext uri="{FF2B5EF4-FFF2-40B4-BE49-F238E27FC236}">
                  <a16:creationId xmlns:a16="http://schemas.microsoft.com/office/drawing/2014/main" id="{00000000-0008-0000-1300-0000063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393700</xdr:colOff>
          <xdr:row>85</xdr:row>
          <xdr:rowOff>38100</xdr:rowOff>
        </xdr:from>
        <xdr:to>
          <xdr:col>30</xdr:col>
          <xdr:colOff>165100</xdr:colOff>
          <xdr:row>86</xdr:row>
          <xdr:rowOff>88900</xdr:rowOff>
        </xdr:to>
        <xdr:sp macro="" textlink="">
          <xdr:nvSpPr>
            <xdr:cNvPr id="21521" name="Button 17"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31750</xdr:rowOff>
        </xdr:from>
        <xdr:to>
          <xdr:col>0</xdr:col>
          <xdr:colOff>381000</xdr:colOff>
          <xdr:row>0</xdr:row>
          <xdr:rowOff>165100</xdr:rowOff>
        </xdr:to>
        <xdr:sp macro="" textlink="">
          <xdr:nvSpPr>
            <xdr:cNvPr id="172033" name="Button 1" hidden="1">
              <a:extLst>
                <a:ext uri="{63B3BB69-23CF-44E3-9099-C40C66FF867C}">
                  <a14:compatExt spid="_x0000_s172033"/>
                </a:ext>
                <a:ext uri="{FF2B5EF4-FFF2-40B4-BE49-F238E27FC236}">
                  <a16:creationId xmlns:a16="http://schemas.microsoft.com/office/drawing/2014/main" id="{00000000-0008-0000-1400-000001A0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73</xdr:row>
          <xdr:rowOff>50800</xdr:rowOff>
        </xdr:from>
        <xdr:to>
          <xdr:col>15</xdr:col>
          <xdr:colOff>546100</xdr:colOff>
          <xdr:row>74</xdr:row>
          <xdr:rowOff>107950</xdr:rowOff>
        </xdr:to>
        <xdr:sp macro="" textlink="">
          <xdr:nvSpPr>
            <xdr:cNvPr id="172034" name="Button 2" hidden="1">
              <a:extLst>
                <a:ext uri="{63B3BB69-23CF-44E3-9099-C40C66FF867C}">
                  <a14:compatExt spid="_x0000_s172034"/>
                </a:ext>
                <a:ext uri="{FF2B5EF4-FFF2-40B4-BE49-F238E27FC236}">
                  <a16:creationId xmlns:a16="http://schemas.microsoft.com/office/drawing/2014/main" id="{00000000-0008-0000-1400-000002A0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72035" name="Button 3" hidden="1">
              <a:extLst>
                <a:ext uri="{63B3BB69-23CF-44E3-9099-C40C66FF867C}">
                  <a14:compatExt spid="_x0000_s172035"/>
                </a:ext>
                <a:ext uri="{FF2B5EF4-FFF2-40B4-BE49-F238E27FC236}">
                  <a16:creationId xmlns:a16="http://schemas.microsoft.com/office/drawing/2014/main" id="{00000000-0008-0000-1400-000003A0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72036" name="Button 4" hidden="1">
              <a:extLst>
                <a:ext uri="{63B3BB69-23CF-44E3-9099-C40C66FF867C}">
                  <a14:compatExt spid="_x0000_s172036"/>
                </a:ext>
                <a:ext uri="{FF2B5EF4-FFF2-40B4-BE49-F238E27FC236}">
                  <a16:creationId xmlns:a16="http://schemas.microsoft.com/office/drawing/2014/main" id="{00000000-0008-0000-1400-000004A0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72037" name="Button 5" hidden="1">
              <a:extLst>
                <a:ext uri="{63B3BB69-23CF-44E3-9099-C40C66FF867C}">
                  <a14:compatExt spid="_x0000_s172037"/>
                </a:ext>
                <a:ext uri="{FF2B5EF4-FFF2-40B4-BE49-F238E27FC236}">
                  <a16:creationId xmlns:a16="http://schemas.microsoft.com/office/drawing/2014/main" id="{00000000-0008-0000-1400-000005A0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172038" name="Button 6" hidden="1">
              <a:extLst>
                <a:ext uri="{63B3BB69-23CF-44E3-9099-C40C66FF867C}">
                  <a14:compatExt spid="_x0000_s172038"/>
                </a:ext>
                <a:ext uri="{FF2B5EF4-FFF2-40B4-BE49-F238E27FC236}">
                  <a16:creationId xmlns:a16="http://schemas.microsoft.com/office/drawing/2014/main" id="{00000000-0008-0000-1400-000006A002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122881" name="Button 1" hidden="1">
              <a:extLst>
                <a:ext uri="{63B3BB69-23CF-44E3-9099-C40C66FF867C}">
                  <a14:compatExt spid="_x0000_s122881"/>
                </a:ext>
                <a:ext uri="{FF2B5EF4-FFF2-40B4-BE49-F238E27FC236}">
                  <a16:creationId xmlns:a16="http://schemas.microsoft.com/office/drawing/2014/main" id="{00000000-0008-0000-1500-000001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83</xdr:row>
          <xdr:rowOff>50800</xdr:rowOff>
        </xdr:from>
        <xdr:to>
          <xdr:col>16</xdr:col>
          <xdr:colOff>31750</xdr:colOff>
          <xdr:row>84</xdr:row>
          <xdr:rowOff>88900</xdr:rowOff>
        </xdr:to>
        <xdr:sp macro="" textlink="">
          <xdr:nvSpPr>
            <xdr:cNvPr id="122882" name="Button 2" hidden="1">
              <a:extLst>
                <a:ext uri="{63B3BB69-23CF-44E3-9099-C40C66FF867C}">
                  <a14:compatExt spid="_x0000_s122882"/>
                </a:ext>
                <a:ext uri="{FF2B5EF4-FFF2-40B4-BE49-F238E27FC236}">
                  <a16:creationId xmlns:a16="http://schemas.microsoft.com/office/drawing/2014/main" id="{00000000-0008-0000-1500-000002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2883" name="Button 3" hidden="1">
              <a:extLst>
                <a:ext uri="{63B3BB69-23CF-44E3-9099-C40C66FF867C}">
                  <a14:compatExt spid="_x0000_s122883"/>
                </a:ext>
                <a:ext uri="{FF2B5EF4-FFF2-40B4-BE49-F238E27FC236}">
                  <a16:creationId xmlns:a16="http://schemas.microsoft.com/office/drawing/2014/main" id="{00000000-0008-0000-1500-000003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2884" name="Button 4" hidden="1">
              <a:extLst>
                <a:ext uri="{63B3BB69-23CF-44E3-9099-C40C66FF867C}">
                  <a14:compatExt spid="_x0000_s122884"/>
                </a:ext>
                <a:ext uri="{FF2B5EF4-FFF2-40B4-BE49-F238E27FC236}">
                  <a16:creationId xmlns:a16="http://schemas.microsoft.com/office/drawing/2014/main" id="{00000000-0008-0000-1500-000004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2885" name="Button 5" hidden="1">
              <a:extLst>
                <a:ext uri="{63B3BB69-23CF-44E3-9099-C40C66FF867C}">
                  <a14:compatExt spid="_x0000_s122885"/>
                </a:ext>
                <a:ext uri="{FF2B5EF4-FFF2-40B4-BE49-F238E27FC236}">
                  <a16:creationId xmlns:a16="http://schemas.microsoft.com/office/drawing/2014/main" id="{00000000-0008-0000-1500-000005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2886" name="Button 6" hidden="1">
              <a:extLst>
                <a:ext uri="{63B3BB69-23CF-44E3-9099-C40C66FF867C}">
                  <a14:compatExt spid="_x0000_s122886"/>
                </a:ext>
                <a:ext uri="{FF2B5EF4-FFF2-40B4-BE49-F238E27FC236}">
                  <a16:creationId xmlns:a16="http://schemas.microsoft.com/office/drawing/2014/main" id="{00000000-0008-0000-1500-000006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2887" name="Button 7" hidden="1">
              <a:extLst>
                <a:ext uri="{63B3BB69-23CF-44E3-9099-C40C66FF867C}">
                  <a14:compatExt spid="_x0000_s122887"/>
                </a:ext>
                <a:ext uri="{FF2B5EF4-FFF2-40B4-BE49-F238E27FC236}">
                  <a16:creationId xmlns:a16="http://schemas.microsoft.com/office/drawing/2014/main" id="{00000000-0008-0000-1500-000007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2888" name="Button 8" hidden="1">
              <a:extLst>
                <a:ext uri="{63B3BB69-23CF-44E3-9099-C40C66FF867C}">
                  <a14:compatExt spid="_x0000_s122888"/>
                </a:ext>
                <a:ext uri="{FF2B5EF4-FFF2-40B4-BE49-F238E27FC236}">
                  <a16:creationId xmlns:a16="http://schemas.microsoft.com/office/drawing/2014/main" id="{00000000-0008-0000-1500-000008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2889" name="Button 9" hidden="1">
              <a:extLst>
                <a:ext uri="{63B3BB69-23CF-44E3-9099-C40C66FF867C}">
                  <a14:compatExt spid="_x0000_s122889"/>
                </a:ext>
                <a:ext uri="{FF2B5EF4-FFF2-40B4-BE49-F238E27FC236}">
                  <a16:creationId xmlns:a16="http://schemas.microsoft.com/office/drawing/2014/main" id="{00000000-0008-0000-1500-000009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2890" name="Button 10" hidden="1">
              <a:extLst>
                <a:ext uri="{63B3BB69-23CF-44E3-9099-C40C66FF867C}">
                  <a14:compatExt spid="_x0000_s122890"/>
                </a:ext>
                <a:ext uri="{FF2B5EF4-FFF2-40B4-BE49-F238E27FC236}">
                  <a16:creationId xmlns:a16="http://schemas.microsoft.com/office/drawing/2014/main" id="{00000000-0008-0000-1500-00000A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2891" name="Button 11" hidden="1">
              <a:extLst>
                <a:ext uri="{63B3BB69-23CF-44E3-9099-C40C66FF867C}">
                  <a14:compatExt spid="_x0000_s122891"/>
                </a:ext>
                <a:ext uri="{FF2B5EF4-FFF2-40B4-BE49-F238E27FC236}">
                  <a16:creationId xmlns:a16="http://schemas.microsoft.com/office/drawing/2014/main" id="{00000000-0008-0000-1500-00000B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2892" name="Button 12" hidden="1">
              <a:extLst>
                <a:ext uri="{63B3BB69-23CF-44E3-9099-C40C66FF867C}">
                  <a14:compatExt spid="_x0000_s122892"/>
                </a:ext>
                <a:ext uri="{FF2B5EF4-FFF2-40B4-BE49-F238E27FC236}">
                  <a16:creationId xmlns:a16="http://schemas.microsoft.com/office/drawing/2014/main" id="{00000000-0008-0000-1500-00000C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2893" name="Button 13" hidden="1">
              <a:extLst>
                <a:ext uri="{63B3BB69-23CF-44E3-9099-C40C66FF867C}">
                  <a14:compatExt spid="_x0000_s122893"/>
                </a:ext>
                <a:ext uri="{FF2B5EF4-FFF2-40B4-BE49-F238E27FC236}">
                  <a16:creationId xmlns:a16="http://schemas.microsoft.com/office/drawing/2014/main" id="{00000000-0008-0000-1500-00000D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2894" name="Button 14" hidden="1">
              <a:extLst>
                <a:ext uri="{63B3BB69-23CF-44E3-9099-C40C66FF867C}">
                  <a14:compatExt spid="_x0000_s122894"/>
                </a:ext>
                <a:ext uri="{FF2B5EF4-FFF2-40B4-BE49-F238E27FC236}">
                  <a16:creationId xmlns:a16="http://schemas.microsoft.com/office/drawing/2014/main" id="{00000000-0008-0000-1500-00000E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2895" name="Button 15" hidden="1">
              <a:extLst>
                <a:ext uri="{63B3BB69-23CF-44E3-9099-C40C66FF867C}">
                  <a14:compatExt spid="_x0000_s122895"/>
                </a:ext>
                <a:ext uri="{FF2B5EF4-FFF2-40B4-BE49-F238E27FC236}">
                  <a16:creationId xmlns:a16="http://schemas.microsoft.com/office/drawing/2014/main" id="{00000000-0008-0000-1500-00000F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2896" name="Button 16" hidden="1">
              <a:extLst>
                <a:ext uri="{63B3BB69-23CF-44E3-9099-C40C66FF867C}">
                  <a14:compatExt spid="_x0000_s122896"/>
                </a:ext>
                <a:ext uri="{FF2B5EF4-FFF2-40B4-BE49-F238E27FC236}">
                  <a16:creationId xmlns:a16="http://schemas.microsoft.com/office/drawing/2014/main" id="{00000000-0008-0000-1500-000010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2897" name="Button 17" hidden="1">
              <a:extLst>
                <a:ext uri="{63B3BB69-23CF-44E3-9099-C40C66FF867C}">
                  <a14:compatExt spid="_x0000_s122897"/>
                </a:ext>
                <a:ext uri="{FF2B5EF4-FFF2-40B4-BE49-F238E27FC236}">
                  <a16:creationId xmlns:a16="http://schemas.microsoft.com/office/drawing/2014/main" id="{00000000-0008-0000-1500-000011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2898" name="Button 18" hidden="1">
              <a:extLst>
                <a:ext uri="{63B3BB69-23CF-44E3-9099-C40C66FF867C}">
                  <a14:compatExt spid="_x0000_s122898"/>
                </a:ext>
                <a:ext uri="{FF2B5EF4-FFF2-40B4-BE49-F238E27FC236}">
                  <a16:creationId xmlns:a16="http://schemas.microsoft.com/office/drawing/2014/main" id="{00000000-0008-0000-1500-000012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2899" name="Button 19" hidden="1">
              <a:extLst>
                <a:ext uri="{63B3BB69-23CF-44E3-9099-C40C66FF867C}">
                  <a14:compatExt spid="_x0000_s122899"/>
                </a:ext>
                <a:ext uri="{FF2B5EF4-FFF2-40B4-BE49-F238E27FC236}">
                  <a16:creationId xmlns:a16="http://schemas.microsoft.com/office/drawing/2014/main" id="{00000000-0008-0000-1500-000013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2900" name="Button 20" hidden="1">
              <a:extLst>
                <a:ext uri="{63B3BB69-23CF-44E3-9099-C40C66FF867C}">
                  <a14:compatExt spid="_x0000_s122900"/>
                </a:ext>
                <a:ext uri="{FF2B5EF4-FFF2-40B4-BE49-F238E27FC236}">
                  <a16:creationId xmlns:a16="http://schemas.microsoft.com/office/drawing/2014/main" id="{00000000-0008-0000-1500-000014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2901" name="Button 21" hidden="1">
              <a:extLst>
                <a:ext uri="{63B3BB69-23CF-44E3-9099-C40C66FF867C}">
                  <a14:compatExt spid="_x0000_s122901"/>
                </a:ext>
                <a:ext uri="{FF2B5EF4-FFF2-40B4-BE49-F238E27FC236}">
                  <a16:creationId xmlns:a16="http://schemas.microsoft.com/office/drawing/2014/main" id="{00000000-0008-0000-1500-000015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2902" name="Button 22" hidden="1">
              <a:extLst>
                <a:ext uri="{63B3BB69-23CF-44E3-9099-C40C66FF867C}">
                  <a14:compatExt spid="_x0000_s122902"/>
                </a:ext>
                <a:ext uri="{FF2B5EF4-FFF2-40B4-BE49-F238E27FC236}">
                  <a16:creationId xmlns:a16="http://schemas.microsoft.com/office/drawing/2014/main" id="{00000000-0008-0000-1500-000016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2903" name="Button 23" hidden="1">
              <a:extLst>
                <a:ext uri="{63B3BB69-23CF-44E3-9099-C40C66FF867C}">
                  <a14:compatExt spid="_x0000_s122903"/>
                </a:ext>
                <a:ext uri="{FF2B5EF4-FFF2-40B4-BE49-F238E27FC236}">
                  <a16:creationId xmlns:a16="http://schemas.microsoft.com/office/drawing/2014/main" id="{00000000-0008-0000-1500-000017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2904" name="Button 24" hidden="1">
              <a:extLst>
                <a:ext uri="{63B3BB69-23CF-44E3-9099-C40C66FF867C}">
                  <a14:compatExt spid="_x0000_s122904"/>
                </a:ext>
                <a:ext uri="{FF2B5EF4-FFF2-40B4-BE49-F238E27FC236}">
                  <a16:creationId xmlns:a16="http://schemas.microsoft.com/office/drawing/2014/main" id="{00000000-0008-0000-1500-000018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2905" name="Button 25" hidden="1">
              <a:extLst>
                <a:ext uri="{63B3BB69-23CF-44E3-9099-C40C66FF867C}">
                  <a14:compatExt spid="_x0000_s122905"/>
                </a:ext>
                <a:ext uri="{FF2B5EF4-FFF2-40B4-BE49-F238E27FC236}">
                  <a16:creationId xmlns:a16="http://schemas.microsoft.com/office/drawing/2014/main" id="{00000000-0008-0000-1500-000019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2906" name="Button 26" hidden="1">
              <a:extLst>
                <a:ext uri="{63B3BB69-23CF-44E3-9099-C40C66FF867C}">
                  <a14:compatExt spid="_x0000_s122906"/>
                </a:ext>
                <a:ext uri="{FF2B5EF4-FFF2-40B4-BE49-F238E27FC236}">
                  <a16:creationId xmlns:a16="http://schemas.microsoft.com/office/drawing/2014/main" id="{00000000-0008-0000-1500-00001A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2907" name="Button 27" hidden="1">
              <a:extLst>
                <a:ext uri="{63B3BB69-23CF-44E3-9099-C40C66FF867C}">
                  <a14:compatExt spid="_x0000_s122907"/>
                </a:ext>
                <a:ext uri="{FF2B5EF4-FFF2-40B4-BE49-F238E27FC236}">
                  <a16:creationId xmlns:a16="http://schemas.microsoft.com/office/drawing/2014/main" id="{00000000-0008-0000-1500-00001B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2908" name="Button 28" hidden="1">
              <a:extLst>
                <a:ext uri="{63B3BB69-23CF-44E3-9099-C40C66FF867C}">
                  <a14:compatExt spid="_x0000_s122908"/>
                </a:ext>
                <a:ext uri="{FF2B5EF4-FFF2-40B4-BE49-F238E27FC236}">
                  <a16:creationId xmlns:a16="http://schemas.microsoft.com/office/drawing/2014/main" id="{00000000-0008-0000-1500-00001C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2909" name="Button 29" hidden="1">
              <a:extLst>
                <a:ext uri="{63B3BB69-23CF-44E3-9099-C40C66FF867C}">
                  <a14:compatExt spid="_x0000_s122909"/>
                </a:ext>
                <a:ext uri="{FF2B5EF4-FFF2-40B4-BE49-F238E27FC236}">
                  <a16:creationId xmlns:a16="http://schemas.microsoft.com/office/drawing/2014/main" id="{00000000-0008-0000-1500-00001D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2910" name="Button 30" hidden="1">
              <a:extLst>
                <a:ext uri="{63B3BB69-23CF-44E3-9099-C40C66FF867C}">
                  <a14:compatExt spid="_x0000_s122910"/>
                </a:ext>
                <a:ext uri="{FF2B5EF4-FFF2-40B4-BE49-F238E27FC236}">
                  <a16:creationId xmlns:a16="http://schemas.microsoft.com/office/drawing/2014/main" id="{00000000-0008-0000-1500-00001E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2911" name="Button 31" hidden="1">
              <a:extLst>
                <a:ext uri="{63B3BB69-23CF-44E3-9099-C40C66FF867C}">
                  <a14:compatExt spid="_x0000_s122911"/>
                </a:ext>
                <a:ext uri="{FF2B5EF4-FFF2-40B4-BE49-F238E27FC236}">
                  <a16:creationId xmlns:a16="http://schemas.microsoft.com/office/drawing/2014/main" id="{00000000-0008-0000-1500-00001F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2912" name="Button 32" hidden="1">
              <a:extLst>
                <a:ext uri="{63B3BB69-23CF-44E3-9099-C40C66FF867C}">
                  <a14:compatExt spid="_x0000_s122912"/>
                </a:ext>
                <a:ext uri="{FF2B5EF4-FFF2-40B4-BE49-F238E27FC236}">
                  <a16:creationId xmlns:a16="http://schemas.microsoft.com/office/drawing/2014/main" id="{00000000-0008-0000-1500-000020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2913" name="Button 33" hidden="1">
              <a:extLst>
                <a:ext uri="{63B3BB69-23CF-44E3-9099-C40C66FF867C}">
                  <a14:compatExt spid="_x0000_s122913"/>
                </a:ext>
                <a:ext uri="{FF2B5EF4-FFF2-40B4-BE49-F238E27FC236}">
                  <a16:creationId xmlns:a16="http://schemas.microsoft.com/office/drawing/2014/main" id="{00000000-0008-0000-1500-000021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2914" name="Button 34" hidden="1">
              <a:extLst>
                <a:ext uri="{63B3BB69-23CF-44E3-9099-C40C66FF867C}">
                  <a14:compatExt spid="_x0000_s122914"/>
                </a:ext>
                <a:ext uri="{FF2B5EF4-FFF2-40B4-BE49-F238E27FC236}">
                  <a16:creationId xmlns:a16="http://schemas.microsoft.com/office/drawing/2014/main" id="{00000000-0008-0000-1500-000022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2915" name="Button 35" hidden="1">
              <a:extLst>
                <a:ext uri="{63B3BB69-23CF-44E3-9099-C40C66FF867C}">
                  <a14:compatExt spid="_x0000_s122915"/>
                </a:ext>
                <a:ext uri="{FF2B5EF4-FFF2-40B4-BE49-F238E27FC236}">
                  <a16:creationId xmlns:a16="http://schemas.microsoft.com/office/drawing/2014/main" id="{00000000-0008-0000-1500-000023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2916" name="Button 36" hidden="1">
              <a:extLst>
                <a:ext uri="{63B3BB69-23CF-44E3-9099-C40C66FF867C}">
                  <a14:compatExt spid="_x0000_s122916"/>
                </a:ext>
                <a:ext uri="{FF2B5EF4-FFF2-40B4-BE49-F238E27FC236}">
                  <a16:creationId xmlns:a16="http://schemas.microsoft.com/office/drawing/2014/main" id="{00000000-0008-0000-1500-000024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2917" name="Button 37" hidden="1">
              <a:extLst>
                <a:ext uri="{63B3BB69-23CF-44E3-9099-C40C66FF867C}">
                  <a14:compatExt spid="_x0000_s122917"/>
                </a:ext>
                <a:ext uri="{FF2B5EF4-FFF2-40B4-BE49-F238E27FC236}">
                  <a16:creationId xmlns:a16="http://schemas.microsoft.com/office/drawing/2014/main" id="{00000000-0008-0000-1500-000025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2918" name="Button 38" hidden="1">
              <a:extLst>
                <a:ext uri="{63B3BB69-23CF-44E3-9099-C40C66FF867C}">
                  <a14:compatExt spid="_x0000_s122918"/>
                </a:ext>
                <a:ext uri="{FF2B5EF4-FFF2-40B4-BE49-F238E27FC236}">
                  <a16:creationId xmlns:a16="http://schemas.microsoft.com/office/drawing/2014/main" id="{00000000-0008-0000-1500-000026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2919" name="Button 39" hidden="1">
              <a:extLst>
                <a:ext uri="{63B3BB69-23CF-44E3-9099-C40C66FF867C}">
                  <a14:compatExt spid="_x0000_s122919"/>
                </a:ext>
                <a:ext uri="{FF2B5EF4-FFF2-40B4-BE49-F238E27FC236}">
                  <a16:creationId xmlns:a16="http://schemas.microsoft.com/office/drawing/2014/main" id="{00000000-0008-0000-1500-000027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2920" name="Button 40" hidden="1">
              <a:extLst>
                <a:ext uri="{63B3BB69-23CF-44E3-9099-C40C66FF867C}">
                  <a14:compatExt spid="_x0000_s122920"/>
                </a:ext>
                <a:ext uri="{FF2B5EF4-FFF2-40B4-BE49-F238E27FC236}">
                  <a16:creationId xmlns:a16="http://schemas.microsoft.com/office/drawing/2014/main" id="{00000000-0008-0000-1500-000028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2921" name="Button 41" hidden="1">
              <a:extLst>
                <a:ext uri="{63B3BB69-23CF-44E3-9099-C40C66FF867C}">
                  <a14:compatExt spid="_x0000_s122921"/>
                </a:ext>
                <a:ext uri="{FF2B5EF4-FFF2-40B4-BE49-F238E27FC236}">
                  <a16:creationId xmlns:a16="http://schemas.microsoft.com/office/drawing/2014/main" id="{00000000-0008-0000-1500-000029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2922" name="Button 42" hidden="1">
              <a:extLst>
                <a:ext uri="{63B3BB69-23CF-44E3-9099-C40C66FF867C}">
                  <a14:compatExt spid="_x0000_s122922"/>
                </a:ext>
                <a:ext uri="{FF2B5EF4-FFF2-40B4-BE49-F238E27FC236}">
                  <a16:creationId xmlns:a16="http://schemas.microsoft.com/office/drawing/2014/main" id="{00000000-0008-0000-1500-00002A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2923" name="Button 43" hidden="1">
              <a:extLst>
                <a:ext uri="{63B3BB69-23CF-44E3-9099-C40C66FF867C}">
                  <a14:compatExt spid="_x0000_s122923"/>
                </a:ext>
                <a:ext uri="{FF2B5EF4-FFF2-40B4-BE49-F238E27FC236}">
                  <a16:creationId xmlns:a16="http://schemas.microsoft.com/office/drawing/2014/main" id="{00000000-0008-0000-1500-00002B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2924" name="Button 44" hidden="1">
              <a:extLst>
                <a:ext uri="{63B3BB69-23CF-44E3-9099-C40C66FF867C}">
                  <a14:compatExt spid="_x0000_s122924"/>
                </a:ext>
                <a:ext uri="{FF2B5EF4-FFF2-40B4-BE49-F238E27FC236}">
                  <a16:creationId xmlns:a16="http://schemas.microsoft.com/office/drawing/2014/main" id="{00000000-0008-0000-1500-00002C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2925" name="Button 45" hidden="1">
              <a:extLst>
                <a:ext uri="{63B3BB69-23CF-44E3-9099-C40C66FF867C}">
                  <a14:compatExt spid="_x0000_s122925"/>
                </a:ext>
                <a:ext uri="{FF2B5EF4-FFF2-40B4-BE49-F238E27FC236}">
                  <a16:creationId xmlns:a16="http://schemas.microsoft.com/office/drawing/2014/main" id="{00000000-0008-0000-1500-00002D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2926" name="Button 46" hidden="1">
              <a:extLst>
                <a:ext uri="{63B3BB69-23CF-44E3-9099-C40C66FF867C}">
                  <a14:compatExt spid="_x0000_s122926"/>
                </a:ext>
                <a:ext uri="{FF2B5EF4-FFF2-40B4-BE49-F238E27FC236}">
                  <a16:creationId xmlns:a16="http://schemas.microsoft.com/office/drawing/2014/main" id="{00000000-0008-0000-1500-00002E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2927" name="Button 47" hidden="1">
              <a:extLst>
                <a:ext uri="{63B3BB69-23CF-44E3-9099-C40C66FF867C}">
                  <a14:compatExt spid="_x0000_s122927"/>
                </a:ext>
                <a:ext uri="{FF2B5EF4-FFF2-40B4-BE49-F238E27FC236}">
                  <a16:creationId xmlns:a16="http://schemas.microsoft.com/office/drawing/2014/main" id="{00000000-0008-0000-1500-00002F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2928" name="Button 48" hidden="1">
              <a:extLst>
                <a:ext uri="{63B3BB69-23CF-44E3-9099-C40C66FF867C}">
                  <a14:compatExt spid="_x0000_s122928"/>
                </a:ext>
                <a:ext uri="{FF2B5EF4-FFF2-40B4-BE49-F238E27FC236}">
                  <a16:creationId xmlns:a16="http://schemas.microsoft.com/office/drawing/2014/main" id="{00000000-0008-0000-1500-000030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2929" name="Button 49" hidden="1">
              <a:extLst>
                <a:ext uri="{63B3BB69-23CF-44E3-9099-C40C66FF867C}">
                  <a14:compatExt spid="_x0000_s122929"/>
                </a:ext>
                <a:ext uri="{FF2B5EF4-FFF2-40B4-BE49-F238E27FC236}">
                  <a16:creationId xmlns:a16="http://schemas.microsoft.com/office/drawing/2014/main" id="{00000000-0008-0000-1500-000031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2930" name="Button 50" hidden="1">
              <a:extLst>
                <a:ext uri="{63B3BB69-23CF-44E3-9099-C40C66FF867C}">
                  <a14:compatExt spid="_x0000_s122930"/>
                </a:ext>
                <a:ext uri="{FF2B5EF4-FFF2-40B4-BE49-F238E27FC236}">
                  <a16:creationId xmlns:a16="http://schemas.microsoft.com/office/drawing/2014/main" id="{00000000-0008-0000-1500-000032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2931" name="Button 51" hidden="1">
              <a:extLst>
                <a:ext uri="{63B3BB69-23CF-44E3-9099-C40C66FF867C}">
                  <a14:compatExt spid="_x0000_s122931"/>
                </a:ext>
                <a:ext uri="{FF2B5EF4-FFF2-40B4-BE49-F238E27FC236}">
                  <a16:creationId xmlns:a16="http://schemas.microsoft.com/office/drawing/2014/main" id="{00000000-0008-0000-1500-000033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2932" name="Button 52" hidden="1">
              <a:extLst>
                <a:ext uri="{63B3BB69-23CF-44E3-9099-C40C66FF867C}">
                  <a14:compatExt spid="_x0000_s122932"/>
                </a:ext>
                <a:ext uri="{FF2B5EF4-FFF2-40B4-BE49-F238E27FC236}">
                  <a16:creationId xmlns:a16="http://schemas.microsoft.com/office/drawing/2014/main" id="{00000000-0008-0000-1500-000034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2933" name="Button 53" hidden="1">
              <a:extLst>
                <a:ext uri="{63B3BB69-23CF-44E3-9099-C40C66FF867C}">
                  <a14:compatExt spid="_x0000_s122933"/>
                </a:ext>
                <a:ext uri="{FF2B5EF4-FFF2-40B4-BE49-F238E27FC236}">
                  <a16:creationId xmlns:a16="http://schemas.microsoft.com/office/drawing/2014/main" id="{00000000-0008-0000-1500-000035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2934" name="Button 54" hidden="1">
              <a:extLst>
                <a:ext uri="{63B3BB69-23CF-44E3-9099-C40C66FF867C}">
                  <a14:compatExt spid="_x0000_s122934"/>
                </a:ext>
                <a:ext uri="{FF2B5EF4-FFF2-40B4-BE49-F238E27FC236}">
                  <a16:creationId xmlns:a16="http://schemas.microsoft.com/office/drawing/2014/main" id="{00000000-0008-0000-1500-000036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2935" name="Button 55" hidden="1">
              <a:extLst>
                <a:ext uri="{63B3BB69-23CF-44E3-9099-C40C66FF867C}">
                  <a14:compatExt spid="_x0000_s122935"/>
                </a:ext>
                <a:ext uri="{FF2B5EF4-FFF2-40B4-BE49-F238E27FC236}">
                  <a16:creationId xmlns:a16="http://schemas.microsoft.com/office/drawing/2014/main" id="{00000000-0008-0000-1500-000037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2936" name="Button 56" hidden="1">
              <a:extLst>
                <a:ext uri="{63B3BB69-23CF-44E3-9099-C40C66FF867C}">
                  <a14:compatExt spid="_x0000_s122936"/>
                </a:ext>
                <a:ext uri="{FF2B5EF4-FFF2-40B4-BE49-F238E27FC236}">
                  <a16:creationId xmlns:a16="http://schemas.microsoft.com/office/drawing/2014/main" id="{00000000-0008-0000-1500-000038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2937" name="Button 57" hidden="1">
              <a:extLst>
                <a:ext uri="{63B3BB69-23CF-44E3-9099-C40C66FF867C}">
                  <a14:compatExt spid="_x0000_s122937"/>
                </a:ext>
                <a:ext uri="{FF2B5EF4-FFF2-40B4-BE49-F238E27FC236}">
                  <a16:creationId xmlns:a16="http://schemas.microsoft.com/office/drawing/2014/main" id="{00000000-0008-0000-1500-000039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2938" name="Button 58" hidden="1">
              <a:extLst>
                <a:ext uri="{63B3BB69-23CF-44E3-9099-C40C66FF867C}">
                  <a14:compatExt spid="_x0000_s122938"/>
                </a:ext>
                <a:ext uri="{FF2B5EF4-FFF2-40B4-BE49-F238E27FC236}">
                  <a16:creationId xmlns:a16="http://schemas.microsoft.com/office/drawing/2014/main" id="{00000000-0008-0000-1500-00003AE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123905" name="Button 1" hidden="1">
              <a:extLst>
                <a:ext uri="{63B3BB69-23CF-44E3-9099-C40C66FF867C}">
                  <a14:compatExt spid="_x0000_s123905"/>
                </a:ext>
                <a:ext uri="{FF2B5EF4-FFF2-40B4-BE49-F238E27FC236}">
                  <a16:creationId xmlns:a16="http://schemas.microsoft.com/office/drawing/2014/main" id="{00000000-0008-0000-1600-000001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83</xdr:row>
          <xdr:rowOff>50800</xdr:rowOff>
        </xdr:from>
        <xdr:to>
          <xdr:col>16</xdr:col>
          <xdr:colOff>31750</xdr:colOff>
          <xdr:row>84</xdr:row>
          <xdr:rowOff>88900</xdr:rowOff>
        </xdr:to>
        <xdr:sp macro="" textlink="">
          <xdr:nvSpPr>
            <xdr:cNvPr id="123906" name="Button 2" hidden="1">
              <a:extLst>
                <a:ext uri="{63B3BB69-23CF-44E3-9099-C40C66FF867C}">
                  <a14:compatExt spid="_x0000_s123906"/>
                </a:ext>
                <a:ext uri="{FF2B5EF4-FFF2-40B4-BE49-F238E27FC236}">
                  <a16:creationId xmlns:a16="http://schemas.microsoft.com/office/drawing/2014/main" id="{00000000-0008-0000-1600-000002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3907" name="Button 3" hidden="1">
              <a:extLst>
                <a:ext uri="{63B3BB69-23CF-44E3-9099-C40C66FF867C}">
                  <a14:compatExt spid="_x0000_s123907"/>
                </a:ext>
                <a:ext uri="{FF2B5EF4-FFF2-40B4-BE49-F238E27FC236}">
                  <a16:creationId xmlns:a16="http://schemas.microsoft.com/office/drawing/2014/main" id="{00000000-0008-0000-1600-000003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3908" name="Button 4" hidden="1">
              <a:extLst>
                <a:ext uri="{63B3BB69-23CF-44E3-9099-C40C66FF867C}">
                  <a14:compatExt spid="_x0000_s123908"/>
                </a:ext>
                <a:ext uri="{FF2B5EF4-FFF2-40B4-BE49-F238E27FC236}">
                  <a16:creationId xmlns:a16="http://schemas.microsoft.com/office/drawing/2014/main" id="{00000000-0008-0000-1600-000004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3909" name="Button 5" hidden="1">
              <a:extLst>
                <a:ext uri="{63B3BB69-23CF-44E3-9099-C40C66FF867C}">
                  <a14:compatExt spid="_x0000_s123909"/>
                </a:ext>
                <a:ext uri="{FF2B5EF4-FFF2-40B4-BE49-F238E27FC236}">
                  <a16:creationId xmlns:a16="http://schemas.microsoft.com/office/drawing/2014/main" id="{00000000-0008-0000-1600-000005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3910" name="Button 6" hidden="1">
              <a:extLst>
                <a:ext uri="{63B3BB69-23CF-44E3-9099-C40C66FF867C}">
                  <a14:compatExt spid="_x0000_s123910"/>
                </a:ext>
                <a:ext uri="{FF2B5EF4-FFF2-40B4-BE49-F238E27FC236}">
                  <a16:creationId xmlns:a16="http://schemas.microsoft.com/office/drawing/2014/main" id="{00000000-0008-0000-1600-000006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3911" name="Button 7" hidden="1">
              <a:extLst>
                <a:ext uri="{63B3BB69-23CF-44E3-9099-C40C66FF867C}">
                  <a14:compatExt spid="_x0000_s123911"/>
                </a:ext>
                <a:ext uri="{FF2B5EF4-FFF2-40B4-BE49-F238E27FC236}">
                  <a16:creationId xmlns:a16="http://schemas.microsoft.com/office/drawing/2014/main" id="{00000000-0008-0000-1600-000007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3912" name="Button 8" hidden="1">
              <a:extLst>
                <a:ext uri="{63B3BB69-23CF-44E3-9099-C40C66FF867C}">
                  <a14:compatExt spid="_x0000_s123912"/>
                </a:ext>
                <a:ext uri="{FF2B5EF4-FFF2-40B4-BE49-F238E27FC236}">
                  <a16:creationId xmlns:a16="http://schemas.microsoft.com/office/drawing/2014/main" id="{00000000-0008-0000-1600-000008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3913" name="Button 9" hidden="1">
              <a:extLst>
                <a:ext uri="{63B3BB69-23CF-44E3-9099-C40C66FF867C}">
                  <a14:compatExt spid="_x0000_s123913"/>
                </a:ext>
                <a:ext uri="{FF2B5EF4-FFF2-40B4-BE49-F238E27FC236}">
                  <a16:creationId xmlns:a16="http://schemas.microsoft.com/office/drawing/2014/main" id="{00000000-0008-0000-1600-000009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123914" name="Button 10" hidden="1">
              <a:extLst>
                <a:ext uri="{63B3BB69-23CF-44E3-9099-C40C66FF867C}">
                  <a14:compatExt spid="_x0000_s123914"/>
                </a:ext>
                <a:ext uri="{FF2B5EF4-FFF2-40B4-BE49-F238E27FC236}">
                  <a16:creationId xmlns:a16="http://schemas.microsoft.com/office/drawing/2014/main" id="{00000000-0008-0000-1600-00000A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3915" name="Button 11" hidden="1">
              <a:extLst>
                <a:ext uri="{63B3BB69-23CF-44E3-9099-C40C66FF867C}">
                  <a14:compatExt spid="_x0000_s123915"/>
                </a:ext>
                <a:ext uri="{FF2B5EF4-FFF2-40B4-BE49-F238E27FC236}">
                  <a16:creationId xmlns:a16="http://schemas.microsoft.com/office/drawing/2014/main" id="{00000000-0008-0000-1600-00000B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3916" name="Button 12" hidden="1">
              <a:extLst>
                <a:ext uri="{63B3BB69-23CF-44E3-9099-C40C66FF867C}">
                  <a14:compatExt spid="_x0000_s123916"/>
                </a:ext>
                <a:ext uri="{FF2B5EF4-FFF2-40B4-BE49-F238E27FC236}">
                  <a16:creationId xmlns:a16="http://schemas.microsoft.com/office/drawing/2014/main" id="{00000000-0008-0000-1600-00000C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3917" name="Button 13" hidden="1">
              <a:extLst>
                <a:ext uri="{63B3BB69-23CF-44E3-9099-C40C66FF867C}">
                  <a14:compatExt spid="_x0000_s123917"/>
                </a:ext>
                <a:ext uri="{FF2B5EF4-FFF2-40B4-BE49-F238E27FC236}">
                  <a16:creationId xmlns:a16="http://schemas.microsoft.com/office/drawing/2014/main" id="{00000000-0008-0000-1600-00000D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123918" name="Button 14" hidden="1">
              <a:extLst>
                <a:ext uri="{63B3BB69-23CF-44E3-9099-C40C66FF867C}">
                  <a14:compatExt spid="_x0000_s123918"/>
                </a:ext>
                <a:ext uri="{FF2B5EF4-FFF2-40B4-BE49-F238E27FC236}">
                  <a16:creationId xmlns:a16="http://schemas.microsoft.com/office/drawing/2014/main" id="{00000000-0008-0000-1600-00000E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3919" name="Button 15" hidden="1">
              <a:extLst>
                <a:ext uri="{63B3BB69-23CF-44E3-9099-C40C66FF867C}">
                  <a14:compatExt spid="_x0000_s123919"/>
                </a:ext>
                <a:ext uri="{FF2B5EF4-FFF2-40B4-BE49-F238E27FC236}">
                  <a16:creationId xmlns:a16="http://schemas.microsoft.com/office/drawing/2014/main" id="{00000000-0008-0000-1600-00000F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3920" name="Button 16" hidden="1">
              <a:extLst>
                <a:ext uri="{63B3BB69-23CF-44E3-9099-C40C66FF867C}">
                  <a14:compatExt spid="_x0000_s123920"/>
                </a:ext>
                <a:ext uri="{FF2B5EF4-FFF2-40B4-BE49-F238E27FC236}">
                  <a16:creationId xmlns:a16="http://schemas.microsoft.com/office/drawing/2014/main" id="{00000000-0008-0000-1600-000010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3921" name="Button 17" hidden="1">
              <a:extLst>
                <a:ext uri="{63B3BB69-23CF-44E3-9099-C40C66FF867C}">
                  <a14:compatExt spid="_x0000_s123921"/>
                </a:ext>
                <a:ext uri="{FF2B5EF4-FFF2-40B4-BE49-F238E27FC236}">
                  <a16:creationId xmlns:a16="http://schemas.microsoft.com/office/drawing/2014/main" id="{00000000-0008-0000-1600-000011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123922" name="Button 18" hidden="1">
              <a:extLst>
                <a:ext uri="{63B3BB69-23CF-44E3-9099-C40C66FF867C}">
                  <a14:compatExt spid="_x0000_s123922"/>
                </a:ext>
                <a:ext uri="{FF2B5EF4-FFF2-40B4-BE49-F238E27FC236}">
                  <a16:creationId xmlns:a16="http://schemas.microsoft.com/office/drawing/2014/main" id="{00000000-0008-0000-1600-000012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3923" name="Button 19" hidden="1">
              <a:extLst>
                <a:ext uri="{63B3BB69-23CF-44E3-9099-C40C66FF867C}">
                  <a14:compatExt spid="_x0000_s123923"/>
                </a:ext>
                <a:ext uri="{FF2B5EF4-FFF2-40B4-BE49-F238E27FC236}">
                  <a16:creationId xmlns:a16="http://schemas.microsoft.com/office/drawing/2014/main" id="{00000000-0008-0000-1600-000013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3924" name="Button 20" hidden="1">
              <a:extLst>
                <a:ext uri="{63B3BB69-23CF-44E3-9099-C40C66FF867C}">
                  <a14:compatExt spid="_x0000_s123924"/>
                </a:ext>
                <a:ext uri="{FF2B5EF4-FFF2-40B4-BE49-F238E27FC236}">
                  <a16:creationId xmlns:a16="http://schemas.microsoft.com/office/drawing/2014/main" id="{00000000-0008-0000-1600-000014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3925" name="Button 21" hidden="1">
              <a:extLst>
                <a:ext uri="{63B3BB69-23CF-44E3-9099-C40C66FF867C}">
                  <a14:compatExt spid="_x0000_s123925"/>
                </a:ext>
                <a:ext uri="{FF2B5EF4-FFF2-40B4-BE49-F238E27FC236}">
                  <a16:creationId xmlns:a16="http://schemas.microsoft.com/office/drawing/2014/main" id="{00000000-0008-0000-1600-000015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123926" name="Button 22" hidden="1">
              <a:extLst>
                <a:ext uri="{63B3BB69-23CF-44E3-9099-C40C66FF867C}">
                  <a14:compatExt spid="_x0000_s123926"/>
                </a:ext>
                <a:ext uri="{FF2B5EF4-FFF2-40B4-BE49-F238E27FC236}">
                  <a16:creationId xmlns:a16="http://schemas.microsoft.com/office/drawing/2014/main" id="{00000000-0008-0000-1600-000016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3927" name="Button 23" hidden="1">
              <a:extLst>
                <a:ext uri="{63B3BB69-23CF-44E3-9099-C40C66FF867C}">
                  <a14:compatExt spid="_x0000_s123927"/>
                </a:ext>
                <a:ext uri="{FF2B5EF4-FFF2-40B4-BE49-F238E27FC236}">
                  <a16:creationId xmlns:a16="http://schemas.microsoft.com/office/drawing/2014/main" id="{00000000-0008-0000-1600-000017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3928" name="Button 24" hidden="1">
              <a:extLst>
                <a:ext uri="{63B3BB69-23CF-44E3-9099-C40C66FF867C}">
                  <a14:compatExt spid="_x0000_s123928"/>
                </a:ext>
                <a:ext uri="{FF2B5EF4-FFF2-40B4-BE49-F238E27FC236}">
                  <a16:creationId xmlns:a16="http://schemas.microsoft.com/office/drawing/2014/main" id="{00000000-0008-0000-1600-000018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3929" name="Button 25" hidden="1">
              <a:extLst>
                <a:ext uri="{63B3BB69-23CF-44E3-9099-C40C66FF867C}">
                  <a14:compatExt spid="_x0000_s123929"/>
                </a:ext>
                <a:ext uri="{FF2B5EF4-FFF2-40B4-BE49-F238E27FC236}">
                  <a16:creationId xmlns:a16="http://schemas.microsoft.com/office/drawing/2014/main" id="{00000000-0008-0000-1600-000019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123930" name="Button 26" hidden="1">
              <a:extLst>
                <a:ext uri="{63B3BB69-23CF-44E3-9099-C40C66FF867C}">
                  <a14:compatExt spid="_x0000_s123930"/>
                </a:ext>
                <a:ext uri="{FF2B5EF4-FFF2-40B4-BE49-F238E27FC236}">
                  <a16:creationId xmlns:a16="http://schemas.microsoft.com/office/drawing/2014/main" id="{00000000-0008-0000-1600-00001A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3931" name="Button 27" hidden="1">
              <a:extLst>
                <a:ext uri="{63B3BB69-23CF-44E3-9099-C40C66FF867C}">
                  <a14:compatExt spid="_x0000_s123931"/>
                </a:ext>
                <a:ext uri="{FF2B5EF4-FFF2-40B4-BE49-F238E27FC236}">
                  <a16:creationId xmlns:a16="http://schemas.microsoft.com/office/drawing/2014/main" id="{00000000-0008-0000-1600-00001B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3932" name="Button 28" hidden="1">
              <a:extLst>
                <a:ext uri="{63B3BB69-23CF-44E3-9099-C40C66FF867C}">
                  <a14:compatExt spid="_x0000_s123932"/>
                </a:ext>
                <a:ext uri="{FF2B5EF4-FFF2-40B4-BE49-F238E27FC236}">
                  <a16:creationId xmlns:a16="http://schemas.microsoft.com/office/drawing/2014/main" id="{00000000-0008-0000-1600-00001C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3933" name="Button 29" hidden="1">
              <a:extLst>
                <a:ext uri="{63B3BB69-23CF-44E3-9099-C40C66FF867C}">
                  <a14:compatExt spid="_x0000_s123933"/>
                </a:ext>
                <a:ext uri="{FF2B5EF4-FFF2-40B4-BE49-F238E27FC236}">
                  <a16:creationId xmlns:a16="http://schemas.microsoft.com/office/drawing/2014/main" id="{00000000-0008-0000-1600-00001D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123934" name="Button 30" hidden="1">
              <a:extLst>
                <a:ext uri="{63B3BB69-23CF-44E3-9099-C40C66FF867C}">
                  <a14:compatExt spid="_x0000_s123934"/>
                </a:ext>
                <a:ext uri="{FF2B5EF4-FFF2-40B4-BE49-F238E27FC236}">
                  <a16:creationId xmlns:a16="http://schemas.microsoft.com/office/drawing/2014/main" id="{00000000-0008-0000-1600-00001E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3935" name="Button 31" hidden="1">
              <a:extLst>
                <a:ext uri="{63B3BB69-23CF-44E3-9099-C40C66FF867C}">
                  <a14:compatExt spid="_x0000_s123935"/>
                </a:ext>
                <a:ext uri="{FF2B5EF4-FFF2-40B4-BE49-F238E27FC236}">
                  <a16:creationId xmlns:a16="http://schemas.microsoft.com/office/drawing/2014/main" id="{00000000-0008-0000-1600-00001F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3936" name="Button 32" hidden="1">
              <a:extLst>
                <a:ext uri="{63B3BB69-23CF-44E3-9099-C40C66FF867C}">
                  <a14:compatExt spid="_x0000_s123936"/>
                </a:ext>
                <a:ext uri="{FF2B5EF4-FFF2-40B4-BE49-F238E27FC236}">
                  <a16:creationId xmlns:a16="http://schemas.microsoft.com/office/drawing/2014/main" id="{00000000-0008-0000-1600-000020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3937" name="Button 33" hidden="1">
              <a:extLst>
                <a:ext uri="{63B3BB69-23CF-44E3-9099-C40C66FF867C}">
                  <a14:compatExt spid="_x0000_s123937"/>
                </a:ext>
                <a:ext uri="{FF2B5EF4-FFF2-40B4-BE49-F238E27FC236}">
                  <a16:creationId xmlns:a16="http://schemas.microsoft.com/office/drawing/2014/main" id="{00000000-0008-0000-1600-000021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123938" name="Button 34" hidden="1">
              <a:extLst>
                <a:ext uri="{63B3BB69-23CF-44E3-9099-C40C66FF867C}">
                  <a14:compatExt spid="_x0000_s123938"/>
                </a:ext>
                <a:ext uri="{FF2B5EF4-FFF2-40B4-BE49-F238E27FC236}">
                  <a16:creationId xmlns:a16="http://schemas.microsoft.com/office/drawing/2014/main" id="{00000000-0008-0000-1600-000022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3939" name="Button 35" hidden="1">
              <a:extLst>
                <a:ext uri="{63B3BB69-23CF-44E3-9099-C40C66FF867C}">
                  <a14:compatExt spid="_x0000_s123939"/>
                </a:ext>
                <a:ext uri="{FF2B5EF4-FFF2-40B4-BE49-F238E27FC236}">
                  <a16:creationId xmlns:a16="http://schemas.microsoft.com/office/drawing/2014/main" id="{00000000-0008-0000-1600-000023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3940" name="Button 36" hidden="1">
              <a:extLst>
                <a:ext uri="{63B3BB69-23CF-44E3-9099-C40C66FF867C}">
                  <a14:compatExt spid="_x0000_s123940"/>
                </a:ext>
                <a:ext uri="{FF2B5EF4-FFF2-40B4-BE49-F238E27FC236}">
                  <a16:creationId xmlns:a16="http://schemas.microsoft.com/office/drawing/2014/main" id="{00000000-0008-0000-1600-000024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3941" name="Button 37" hidden="1">
              <a:extLst>
                <a:ext uri="{63B3BB69-23CF-44E3-9099-C40C66FF867C}">
                  <a14:compatExt spid="_x0000_s123941"/>
                </a:ext>
                <a:ext uri="{FF2B5EF4-FFF2-40B4-BE49-F238E27FC236}">
                  <a16:creationId xmlns:a16="http://schemas.microsoft.com/office/drawing/2014/main" id="{00000000-0008-0000-1600-000025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123942" name="Button 38" hidden="1">
              <a:extLst>
                <a:ext uri="{63B3BB69-23CF-44E3-9099-C40C66FF867C}">
                  <a14:compatExt spid="_x0000_s123942"/>
                </a:ext>
                <a:ext uri="{FF2B5EF4-FFF2-40B4-BE49-F238E27FC236}">
                  <a16:creationId xmlns:a16="http://schemas.microsoft.com/office/drawing/2014/main" id="{00000000-0008-0000-1600-000026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3943" name="Button 39" hidden="1">
              <a:extLst>
                <a:ext uri="{63B3BB69-23CF-44E3-9099-C40C66FF867C}">
                  <a14:compatExt spid="_x0000_s123943"/>
                </a:ext>
                <a:ext uri="{FF2B5EF4-FFF2-40B4-BE49-F238E27FC236}">
                  <a16:creationId xmlns:a16="http://schemas.microsoft.com/office/drawing/2014/main" id="{00000000-0008-0000-1600-000027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3944" name="Button 40" hidden="1">
              <a:extLst>
                <a:ext uri="{63B3BB69-23CF-44E3-9099-C40C66FF867C}">
                  <a14:compatExt spid="_x0000_s123944"/>
                </a:ext>
                <a:ext uri="{FF2B5EF4-FFF2-40B4-BE49-F238E27FC236}">
                  <a16:creationId xmlns:a16="http://schemas.microsoft.com/office/drawing/2014/main" id="{00000000-0008-0000-1600-000028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3945" name="Button 41" hidden="1">
              <a:extLst>
                <a:ext uri="{63B3BB69-23CF-44E3-9099-C40C66FF867C}">
                  <a14:compatExt spid="_x0000_s123945"/>
                </a:ext>
                <a:ext uri="{FF2B5EF4-FFF2-40B4-BE49-F238E27FC236}">
                  <a16:creationId xmlns:a16="http://schemas.microsoft.com/office/drawing/2014/main" id="{00000000-0008-0000-1600-000029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123946" name="Button 42" hidden="1">
              <a:extLst>
                <a:ext uri="{63B3BB69-23CF-44E3-9099-C40C66FF867C}">
                  <a14:compatExt spid="_x0000_s123946"/>
                </a:ext>
                <a:ext uri="{FF2B5EF4-FFF2-40B4-BE49-F238E27FC236}">
                  <a16:creationId xmlns:a16="http://schemas.microsoft.com/office/drawing/2014/main" id="{00000000-0008-0000-1600-00002A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3947" name="Button 43" hidden="1">
              <a:extLst>
                <a:ext uri="{63B3BB69-23CF-44E3-9099-C40C66FF867C}">
                  <a14:compatExt spid="_x0000_s123947"/>
                </a:ext>
                <a:ext uri="{FF2B5EF4-FFF2-40B4-BE49-F238E27FC236}">
                  <a16:creationId xmlns:a16="http://schemas.microsoft.com/office/drawing/2014/main" id="{00000000-0008-0000-1600-00002B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3948" name="Button 44" hidden="1">
              <a:extLst>
                <a:ext uri="{63B3BB69-23CF-44E3-9099-C40C66FF867C}">
                  <a14:compatExt spid="_x0000_s123948"/>
                </a:ext>
                <a:ext uri="{FF2B5EF4-FFF2-40B4-BE49-F238E27FC236}">
                  <a16:creationId xmlns:a16="http://schemas.microsoft.com/office/drawing/2014/main" id="{00000000-0008-0000-1600-00002C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3949" name="Button 45" hidden="1">
              <a:extLst>
                <a:ext uri="{63B3BB69-23CF-44E3-9099-C40C66FF867C}">
                  <a14:compatExt spid="_x0000_s123949"/>
                </a:ext>
                <a:ext uri="{FF2B5EF4-FFF2-40B4-BE49-F238E27FC236}">
                  <a16:creationId xmlns:a16="http://schemas.microsoft.com/office/drawing/2014/main" id="{00000000-0008-0000-1600-00002D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123950" name="Button 46" hidden="1">
              <a:extLst>
                <a:ext uri="{63B3BB69-23CF-44E3-9099-C40C66FF867C}">
                  <a14:compatExt spid="_x0000_s123950"/>
                </a:ext>
                <a:ext uri="{FF2B5EF4-FFF2-40B4-BE49-F238E27FC236}">
                  <a16:creationId xmlns:a16="http://schemas.microsoft.com/office/drawing/2014/main" id="{00000000-0008-0000-1600-00002E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3951" name="Button 47" hidden="1">
              <a:extLst>
                <a:ext uri="{63B3BB69-23CF-44E3-9099-C40C66FF867C}">
                  <a14:compatExt spid="_x0000_s123951"/>
                </a:ext>
                <a:ext uri="{FF2B5EF4-FFF2-40B4-BE49-F238E27FC236}">
                  <a16:creationId xmlns:a16="http://schemas.microsoft.com/office/drawing/2014/main" id="{00000000-0008-0000-1600-00002F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3952" name="Button 48" hidden="1">
              <a:extLst>
                <a:ext uri="{63B3BB69-23CF-44E3-9099-C40C66FF867C}">
                  <a14:compatExt spid="_x0000_s123952"/>
                </a:ext>
                <a:ext uri="{FF2B5EF4-FFF2-40B4-BE49-F238E27FC236}">
                  <a16:creationId xmlns:a16="http://schemas.microsoft.com/office/drawing/2014/main" id="{00000000-0008-0000-1600-000030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3953" name="Button 49" hidden="1">
              <a:extLst>
                <a:ext uri="{63B3BB69-23CF-44E3-9099-C40C66FF867C}">
                  <a14:compatExt spid="_x0000_s123953"/>
                </a:ext>
                <a:ext uri="{FF2B5EF4-FFF2-40B4-BE49-F238E27FC236}">
                  <a16:creationId xmlns:a16="http://schemas.microsoft.com/office/drawing/2014/main" id="{00000000-0008-0000-1600-000031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123954" name="Button 50" hidden="1">
              <a:extLst>
                <a:ext uri="{63B3BB69-23CF-44E3-9099-C40C66FF867C}">
                  <a14:compatExt spid="_x0000_s123954"/>
                </a:ext>
                <a:ext uri="{FF2B5EF4-FFF2-40B4-BE49-F238E27FC236}">
                  <a16:creationId xmlns:a16="http://schemas.microsoft.com/office/drawing/2014/main" id="{00000000-0008-0000-1600-000032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3955" name="Button 51" hidden="1">
              <a:extLst>
                <a:ext uri="{63B3BB69-23CF-44E3-9099-C40C66FF867C}">
                  <a14:compatExt spid="_x0000_s123955"/>
                </a:ext>
                <a:ext uri="{FF2B5EF4-FFF2-40B4-BE49-F238E27FC236}">
                  <a16:creationId xmlns:a16="http://schemas.microsoft.com/office/drawing/2014/main" id="{00000000-0008-0000-1600-000033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3956" name="Button 52" hidden="1">
              <a:extLst>
                <a:ext uri="{63B3BB69-23CF-44E3-9099-C40C66FF867C}">
                  <a14:compatExt spid="_x0000_s123956"/>
                </a:ext>
                <a:ext uri="{FF2B5EF4-FFF2-40B4-BE49-F238E27FC236}">
                  <a16:creationId xmlns:a16="http://schemas.microsoft.com/office/drawing/2014/main" id="{00000000-0008-0000-1600-000034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3957" name="Button 53" hidden="1">
              <a:extLst>
                <a:ext uri="{63B3BB69-23CF-44E3-9099-C40C66FF867C}">
                  <a14:compatExt spid="_x0000_s123957"/>
                </a:ext>
                <a:ext uri="{FF2B5EF4-FFF2-40B4-BE49-F238E27FC236}">
                  <a16:creationId xmlns:a16="http://schemas.microsoft.com/office/drawing/2014/main" id="{00000000-0008-0000-1600-000035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123958" name="Button 54" hidden="1">
              <a:extLst>
                <a:ext uri="{63B3BB69-23CF-44E3-9099-C40C66FF867C}">
                  <a14:compatExt spid="_x0000_s123958"/>
                </a:ext>
                <a:ext uri="{FF2B5EF4-FFF2-40B4-BE49-F238E27FC236}">
                  <a16:creationId xmlns:a16="http://schemas.microsoft.com/office/drawing/2014/main" id="{00000000-0008-0000-1600-000036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3959" name="Button 55" hidden="1">
              <a:extLst>
                <a:ext uri="{63B3BB69-23CF-44E3-9099-C40C66FF867C}">
                  <a14:compatExt spid="_x0000_s123959"/>
                </a:ext>
                <a:ext uri="{FF2B5EF4-FFF2-40B4-BE49-F238E27FC236}">
                  <a16:creationId xmlns:a16="http://schemas.microsoft.com/office/drawing/2014/main" id="{00000000-0008-0000-1600-000037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3960" name="Button 56" hidden="1">
              <a:extLst>
                <a:ext uri="{63B3BB69-23CF-44E3-9099-C40C66FF867C}">
                  <a14:compatExt spid="_x0000_s123960"/>
                </a:ext>
                <a:ext uri="{FF2B5EF4-FFF2-40B4-BE49-F238E27FC236}">
                  <a16:creationId xmlns:a16="http://schemas.microsoft.com/office/drawing/2014/main" id="{00000000-0008-0000-1600-000038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3961" name="Button 57" hidden="1">
              <a:extLst>
                <a:ext uri="{63B3BB69-23CF-44E3-9099-C40C66FF867C}">
                  <a14:compatExt spid="_x0000_s123961"/>
                </a:ext>
                <a:ext uri="{FF2B5EF4-FFF2-40B4-BE49-F238E27FC236}">
                  <a16:creationId xmlns:a16="http://schemas.microsoft.com/office/drawing/2014/main" id="{00000000-0008-0000-1600-000039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123962" name="Button 58" hidden="1">
              <a:extLst>
                <a:ext uri="{63B3BB69-23CF-44E3-9099-C40C66FF867C}">
                  <a14:compatExt spid="_x0000_s123962"/>
                </a:ext>
                <a:ext uri="{FF2B5EF4-FFF2-40B4-BE49-F238E27FC236}">
                  <a16:creationId xmlns:a16="http://schemas.microsoft.com/office/drawing/2014/main" id="{00000000-0008-0000-1600-00003AE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31750</xdr:rowOff>
        </xdr:from>
        <xdr:to>
          <xdr:col>0</xdr:col>
          <xdr:colOff>374650</xdr:colOff>
          <xdr:row>1</xdr:row>
          <xdr:rowOff>31750</xdr:rowOff>
        </xdr:to>
        <xdr:sp macro="" textlink="">
          <xdr:nvSpPr>
            <xdr:cNvPr id="83969" name="Button 1" hidden="1">
              <a:extLst>
                <a:ext uri="{63B3BB69-23CF-44E3-9099-C40C66FF867C}">
                  <a14:compatExt spid="_x0000_s83969"/>
                </a:ext>
                <a:ext uri="{FF2B5EF4-FFF2-40B4-BE49-F238E27FC236}">
                  <a16:creationId xmlns:a16="http://schemas.microsoft.com/office/drawing/2014/main" id="{00000000-0008-0000-1700-000001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279400</xdr:colOff>
          <xdr:row>82</xdr:row>
          <xdr:rowOff>50800</xdr:rowOff>
        </xdr:from>
        <xdr:to>
          <xdr:col>16</xdr:col>
          <xdr:colOff>31750</xdr:colOff>
          <xdr:row>83</xdr:row>
          <xdr:rowOff>88900</xdr:rowOff>
        </xdr:to>
        <xdr:sp macro="" textlink="">
          <xdr:nvSpPr>
            <xdr:cNvPr id="83970" name="Button 2" hidden="1">
              <a:extLst>
                <a:ext uri="{63B3BB69-23CF-44E3-9099-C40C66FF867C}">
                  <a14:compatExt spid="_x0000_s83970"/>
                </a:ext>
                <a:ext uri="{FF2B5EF4-FFF2-40B4-BE49-F238E27FC236}">
                  <a16:creationId xmlns:a16="http://schemas.microsoft.com/office/drawing/2014/main" id="{00000000-0008-0000-1700-000002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83971" name="Button 3" hidden="1">
              <a:extLst>
                <a:ext uri="{63B3BB69-23CF-44E3-9099-C40C66FF867C}">
                  <a14:compatExt spid="_x0000_s83971"/>
                </a:ext>
                <a:ext uri="{FF2B5EF4-FFF2-40B4-BE49-F238E27FC236}">
                  <a16:creationId xmlns:a16="http://schemas.microsoft.com/office/drawing/2014/main" id="{00000000-0008-0000-1700-000003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83972" name="Button 4" hidden="1">
              <a:extLst>
                <a:ext uri="{63B3BB69-23CF-44E3-9099-C40C66FF867C}">
                  <a14:compatExt spid="_x0000_s83972"/>
                </a:ext>
                <a:ext uri="{FF2B5EF4-FFF2-40B4-BE49-F238E27FC236}">
                  <a16:creationId xmlns:a16="http://schemas.microsoft.com/office/drawing/2014/main" id="{00000000-0008-0000-1700-000004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83973" name="Button 5" hidden="1">
              <a:extLst>
                <a:ext uri="{63B3BB69-23CF-44E3-9099-C40C66FF867C}">
                  <a14:compatExt spid="_x0000_s83973"/>
                </a:ext>
                <a:ext uri="{FF2B5EF4-FFF2-40B4-BE49-F238E27FC236}">
                  <a16:creationId xmlns:a16="http://schemas.microsoft.com/office/drawing/2014/main" id="{00000000-0008-0000-1700-000005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83974" name="Button 6" hidden="1">
              <a:extLst>
                <a:ext uri="{63B3BB69-23CF-44E3-9099-C40C66FF867C}">
                  <a14:compatExt spid="_x0000_s83974"/>
                </a:ext>
                <a:ext uri="{FF2B5EF4-FFF2-40B4-BE49-F238E27FC236}">
                  <a16:creationId xmlns:a16="http://schemas.microsoft.com/office/drawing/2014/main" id="{00000000-0008-0000-1700-000006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83975" name="Button 7" hidden="1">
              <a:extLst>
                <a:ext uri="{63B3BB69-23CF-44E3-9099-C40C66FF867C}">
                  <a14:compatExt spid="_x0000_s83975"/>
                </a:ext>
                <a:ext uri="{FF2B5EF4-FFF2-40B4-BE49-F238E27FC236}">
                  <a16:creationId xmlns:a16="http://schemas.microsoft.com/office/drawing/2014/main" id="{00000000-0008-0000-1700-000007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83976" name="Button 8" hidden="1">
              <a:extLst>
                <a:ext uri="{63B3BB69-23CF-44E3-9099-C40C66FF867C}">
                  <a14:compatExt spid="_x0000_s83976"/>
                </a:ext>
                <a:ext uri="{FF2B5EF4-FFF2-40B4-BE49-F238E27FC236}">
                  <a16:creationId xmlns:a16="http://schemas.microsoft.com/office/drawing/2014/main" id="{00000000-0008-0000-1700-000008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83977" name="Button 9" hidden="1">
              <a:extLst>
                <a:ext uri="{63B3BB69-23CF-44E3-9099-C40C66FF867C}">
                  <a14:compatExt spid="_x0000_s83977"/>
                </a:ext>
                <a:ext uri="{FF2B5EF4-FFF2-40B4-BE49-F238E27FC236}">
                  <a16:creationId xmlns:a16="http://schemas.microsoft.com/office/drawing/2014/main" id="{00000000-0008-0000-1700-000009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355600</xdr:colOff>
          <xdr:row>0</xdr:row>
          <xdr:rowOff>50800</xdr:rowOff>
        </xdr:from>
        <xdr:to>
          <xdr:col>48</xdr:col>
          <xdr:colOff>285750</xdr:colOff>
          <xdr:row>1</xdr:row>
          <xdr:rowOff>50800</xdr:rowOff>
        </xdr:to>
        <xdr:sp macro="" textlink="">
          <xdr:nvSpPr>
            <xdr:cNvPr id="83978" name="Button 10" hidden="1">
              <a:extLst>
                <a:ext uri="{63B3BB69-23CF-44E3-9099-C40C66FF867C}">
                  <a14:compatExt spid="_x0000_s83978"/>
                </a:ext>
                <a:ext uri="{FF2B5EF4-FFF2-40B4-BE49-F238E27FC236}">
                  <a16:creationId xmlns:a16="http://schemas.microsoft.com/office/drawing/2014/main" id="{00000000-0008-0000-1700-00000A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83979" name="Button 11" hidden="1">
              <a:extLst>
                <a:ext uri="{63B3BB69-23CF-44E3-9099-C40C66FF867C}">
                  <a14:compatExt spid="_x0000_s83979"/>
                </a:ext>
                <a:ext uri="{FF2B5EF4-FFF2-40B4-BE49-F238E27FC236}">
                  <a16:creationId xmlns:a16="http://schemas.microsoft.com/office/drawing/2014/main" id="{00000000-0008-0000-1700-00000B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83980" name="Button 12" hidden="1">
              <a:extLst>
                <a:ext uri="{63B3BB69-23CF-44E3-9099-C40C66FF867C}">
                  <a14:compatExt spid="_x0000_s83980"/>
                </a:ext>
                <a:ext uri="{FF2B5EF4-FFF2-40B4-BE49-F238E27FC236}">
                  <a16:creationId xmlns:a16="http://schemas.microsoft.com/office/drawing/2014/main" id="{00000000-0008-0000-1700-00000C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83981" name="Button 13" hidden="1">
              <a:extLst>
                <a:ext uri="{63B3BB69-23CF-44E3-9099-C40C66FF867C}">
                  <a14:compatExt spid="_x0000_s83981"/>
                </a:ext>
                <a:ext uri="{FF2B5EF4-FFF2-40B4-BE49-F238E27FC236}">
                  <a16:creationId xmlns:a16="http://schemas.microsoft.com/office/drawing/2014/main" id="{00000000-0008-0000-1700-00000D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63</xdr:col>
          <xdr:colOff>247650</xdr:colOff>
          <xdr:row>0</xdr:row>
          <xdr:rowOff>50800</xdr:rowOff>
        </xdr:from>
        <xdr:to>
          <xdr:col>64</xdr:col>
          <xdr:colOff>184150</xdr:colOff>
          <xdr:row>1</xdr:row>
          <xdr:rowOff>50800</xdr:rowOff>
        </xdr:to>
        <xdr:sp macro="" textlink="">
          <xdr:nvSpPr>
            <xdr:cNvPr id="83982" name="Button 14" hidden="1">
              <a:extLst>
                <a:ext uri="{63B3BB69-23CF-44E3-9099-C40C66FF867C}">
                  <a14:compatExt spid="_x0000_s83982"/>
                </a:ext>
                <a:ext uri="{FF2B5EF4-FFF2-40B4-BE49-F238E27FC236}">
                  <a16:creationId xmlns:a16="http://schemas.microsoft.com/office/drawing/2014/main" id="{00000000-0008-0000-1700-00000E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83983" name="Button 15" hidden="1">
              <a:extLst>
                <a:ext uri="{63B3BB69-23CF-44E3-9099-C40C66FF867C}">
                  <a14:compatExt spid="_x0000_s83983"/>
                </a:ext>
                <a:ext uri="{FF2B5EF4-FFF2-40B4-BE49-F238E27FC236}">
                  <a16:creationId xmlns:a16="http://schemas.microsoft.com/office/drawing/2014/main" id="{00000000-0008-0000-1700-00000F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83984" name="Button 16" hidden="1">
              <a:extLst>
                <a:ext uri="{63B3BB69-23CF-44E3-9099-C40C66FF867C}">
                  <a14:compatExt spid="_x0000_s83984"/>
                </a:ext>
                <a:ext uri="{FF2B5EF4-FFF2-40B4-BE49-F238E27FC236}">
                  <a16:creationId xmlns:a16="http://schemas.microsoft.com/office/drawing/2014/main" id="{00000000-0008-0000-1700-000010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83985" name="Button 17" hidden="1">
              <a:extLst>
                <a:ext uri="{63B3BB69-23CF-44E3-9099-C40C66FF867C}">
                  <a14:compatExt spid="_x0000_s83985"/>
                </a:ext>
                <a:ext uri="{FF2B5EF4-FFF2-40B4-BE49-F238E27FC236}">
                  <a16:creationId xmlns:a16="http://schemas.microsoft.com/office/drawing/2014/main" id="{00000000-0008-0000-1700-000011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79</xdr:col>
          <xdr:colOff>146050</xdr:colOff>
          <xdr:row>0</xdr:row>
          <xdr:rowOff>50800</xdr:rowOff>
        </xdr:from>
        <xdr:to>
          <xdr:col>80</xdr:col>
          <xdr:colOff>88900</xdr:colOff>
          <xdr:row>1</xdr:row>
          <xdr:rowOff>50800</xdr:rowOff>
        </xdr:to>
        <xdr:sp macro="" textlink="">
          <xdr:nvSpPr>
            <xdr:cNvPr id="83986" name="Button 18" hidden="1">
              <a:extLst>
                <a:ext uri="{63B3BB69-23CF-44E3-9099-C40C66FF867C}">
                  <a14:compatExt spid="_x0000_s83986"/>
                </a:ext>
                <a:ext uri="{FF2B5EF4-FFF2-40B4-BE49-F238E27FC236}">
                  <a16:creationId xmlns:a16="http://schemas.microsoft.com/office/drawing/2014/main" id="{00000000-0008-0000-1700-000012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83987" name="Button 19" hidden="1">
              <a:extLst>
                <a:ext uri="{63B3BB69-23CF-44E3-9099-C40C66FF867C}">
                  <a14:compatExt spid="_x0000_s83987"/>
                </a:ext>
                <a:ext uri="{FF2B5EF4-FFF2-40B4-BE49-F238E27FC236}">
                  <a16:creationId xmlns:a16="http://schemas.microsoft.com/office/drawing/2014/main" id="{00000000-0008-0000-1700-000013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83988" name="Button 20" hidden="1">
              <a:extLst>
                <a:ext uri="{63B3BB69-23CF-44E3-9099-C40C66FF867C}">
                  <a14:compatExt spid="_x0000_s83988"/>
                </a:ext>
                <a:ext uri="{FF2B5EF4-FFF2-40B4-BE49-F238E27FC236}">
                  <a16:creationId xmlns:a16="http://schemas.microsoft.com/office/drawing/2014/main" id="{00000000-0008-0000-1700-000014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83989" name="Button 21" hidden="1">
              <a:extLst>
                <a:ext uri="{63B3BB69-23CF-44E3-9099-C40C66FF867C}">
                  <a14:compatExt spid="_x0000_s83989"/>
                </a:ext>
                <a:ext uri="{FF2B5EF4-FFF2-40B4-BE49-F238E27FC236}">
                  <a16:creationId xmlns:a16="http://schemas.microsoft.com/office/drawing/2014/main" id="{00000000-0008-0000-1700-000015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95</xdr:col>
          <xdr:colOff>50800</xdr:colOff>
          <xdr:row>0</xdr:row>
          <xdr:rowOff>50800</xdr:rowOff>
        </xdr:from>
        <xdr:to>
          <xdr:col>95</xdr:col>
          <xdr:colOff>393700</xdr:colOff>
          <xdr:row>1</xdr:row>
          <xdr:rowOff>50800</xdr:rowOff>
        </xdr:to>
        <xdr:sp macro="" textlink="">
          <xdr:nvSpPr>
            <xdr:cNvPr id="83990" name="Button 22" hidden="1">
              <a:extLst>
                <a:ext uri="{63B3BB69-23CF-44E3-9099-C40C66FF867C}">
                  <a14:compatExt spid="_x0000_s83990"/>
                </a:ext>
                <a:ext uri="{FF2B5EF4-FFF2-40B4-BE49-F238E27FC236}">
                  <a16:creationId xmlns:a16="http://schemas.microsoft.com/office/drawing/2014/main" id="{00000000-0008-0000-1700-000016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83991" name="Button 23" hidden="1">
              <a:extLst>
                <a:ext uri="{63B3BB69-23CF-44E3-9099-C40C66FF867C}">
                  <a14:compatExt spid="_x0000_s83991"/>
                </a:ext>
                <a:ext uri="{FF2B5EF4-FFF2-40B4-BE49-F238E27FC236}">
                  <a16:creationId xmlns:a16="http://schemas.microsoft.com/office/drawing/2014/main" id="{00000000-0008-0000-1700-000017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83992" name="Button 24" hidden="1">
              <a:extLst>
                <a:ext uri="{63B3BB69-23CF-44E3-9099-C40C66FF867C}">
                  <a14:compatExt spid="_x0000_s83992"/>
                </a:ext>
                <a:ext uri="{FF2B5EF4-FFF2-40B4-BE49-F238E27FC236}">
                  <a16:creationId xmlns:a16="http://schemas.microsoft.com/office/drawing/2014/main" id="{00000000-0008-0000-1700-000018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83993" name="Button 25" hidden="1">
              <a:extLst>
                <a:ext uri="{63B3BB69-23CF-44E3-9099-C40C66FF867C}">
                  <a14:compatExt spid="_x0000_s83993"/>
                </a:ext>
                <a:ext uri="{FF2B5EF4-FFF2-40B4-BE49-F238E27FC236}">
                  <a16:creationId xmlns:a16="http://schemas.microsoft.com/office/drawing/2014/main" id="{00000000-0008-0000-1700-000019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110</xdr:col>
          <xdr:colOff>355600</xdr:colOff>
          <xdr:row>0</xdr:row>
          <xdr:rowOff>50800</xdr:rowOff>
        </xdr:from>
        <xdr:to>
          <xdr:col>111</xdr:col>
          <xdr:colOff>285750</xdr:colOff>
          <xdr:row>1</xdr:row>
          <xdr:rowOff>50800</xdr:rowOff>
        </xdr:to>
        <xdr:sp macro="" textlink="">
          <xdr:nvSpPr>
            <xdr:cNvPr id="83994" name="Button 26" hidden="1">
              <a:extLst>
                <a:ext uri="{63B3BB69-23CF-44E3-9099-C40C66FF867C}">
                  <a14:compatExt spid="_x0000_s83994"/>
                </a:ext>
                <a:ext uri="{FF2B5EF4-FFF2-40B4-BE49-F238E27FC236}">
                  <a16:creationId xmlns:a16="http://schemas.microsoft.com/office/drawing/2014/main" id="{00000000-0008-0000-1700-00001A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83995" name="Button 27" hidden="1">
              <a:extLst>
                <a:ext uri="{63B3BB69-23CF-44E3-9099-C40C66FF867C}">
                  <a14:compatExt spid="_x0000_s83995"/>
                </a:ext>
                <a:ext uri="{FF2B5EF4-FFF2-40B4-BE49-F238E27FC236}">
                  <a16:creationId xmlns:a16="http://schemas.microsoft.com/office/drawing/2014/main" id="{00000000-0008-0000-1700-00001B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83996" name="Button 28" hidden="1">
              <a:extLst>
                <a:ext uri="{63B3BB69-23CF-44E3-9099-C40C66FF867C}">
                  <a14:compatExt spid="_x0000_s83996"/>
                </a:ext>
                <a:ext uri="{FF2B5EF4-FFF2-40B4-BE49-F238E27FC236}">
                  <a16:creationId xmlns:a16="http://schemas.microsoft.com/office/drawing/2014/main" id="{00000000-0008-0000-1700-00001C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83997" name="Button 29" hidden="1">
              <a:extLst>
                <a:ext uri="{63B3BB69-23CF-44E3-9099-C40C66FF867C}">
                  <a14:compatExt spid="_x0000_s83997"/>
                </a:ext>
                <a:ext uri="{FF2B5EF4-FFF2-40B4-BE49-F238E27FC236}">
                  <a16:creationId xmlns:a16="http://schemas.microsoft.com/office/drawing/2014/main" id="{00000000-0008-0000-1700-00001D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126</xdr:col>
          <xdr:colOff>260350</xdr:colOff>
          <xdr:row>0</xdr:row>
          <xdr:rowOff>50800</xdr:rowOff>
        </xdr:from>
        <xdr:to>
          <xdr:col>127</xdr:col>
          <xdr:colOff>184150</xdr:colOff>
          <xdr:row>1</xdr:row>
          <xdr:rowOff>50800</xdr:rowOff>
        </xdr:to>
        <xdr:sp macro="" textlink="">
          <xdr:nvSpPr>
            <xdr:cNvPr id="83998" name="Button 30" hidden="1">
              <a:extLst>
                <a:ext uri="{63B3BB69-23CF-44E3-9099-C40C66FF867C}">
                  <a14:compatExt spid="_x0000_s83998"/>
                </a:ext>
                <a:ext uri="{FF2B5EF4-FFF2-40B4-BE49-F238E27FC236}">
                  <a16:creationId xmlns:a16="http://schemas.microsoft.com/office/drawing/2014/main" id="{00000000-0008-0000-1700-00001E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83999" name="Button 31" hidden="1">
              <a:extLst>
                <a:ext uri="{63B3BB69-23CF-44E3-9099-C40C66FF867C}">
                  <a14:compatExt spid="_x0000_s83999"/>
                </a:ext>
                <a:ext uri="{FF2B5EF4-FFF2-40B4-BE49-F238E27FC236}">
                  <a16:creationId xmlns:a16="http://schemas.microsoft.com/office/drawing/2014/main" id="{00000000-0008-0000-1700-00001F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84000" name="Button 32" hidden="1">
              <a:extLst>
                <a:ext uri="{63B3BB69-23CF-44E3-9099-C40C66FF867C}">
                  <a14:compatExt spid="_x0000_s84000"/>
                </a:ext>
                <a:ext uri="{FF2B5EF4-FFF2-40B4-BE49-F238E27FC236}">
                  <a16:creationId xmlns:a16="http://schemas.microsoft.com/office/drawing/2014/main" id="{00000000-0008-0000-1700-000020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84001" name="Button 33" hidden="1">
              <a:extLst>
                <a:ext uri="{63B3BB69-23CF-44E3-9099-C40C66FF867C}">
                  <a14:compatExt spid="_x0000_s84001"/>
                </a:ext>
                <a:ext uri="{FF2B5EF4-FFF2-40B4-BE49-F238E27FC236}">
                  <a16:creationId xmlns:a16="http://schemas.microsoft.com/office/drawing/2014/main" id="{00000000-0008-0000-1700-000021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142</xdr:col>
          <xdr:colOff>152400</xdr:colOff>
          <xdr:row>0</xdr:row>
          <xdr:rowOff>50800</xdr:rowOff>
        </xdr:from>
        <xdr:to>
          <xdr:col>143</xdr:col>
          <xdr:colOff>88900</xdr:colOff>
          <xdr:row>1</xdr:row>
          <xdr:rowOff>50800</xdr:rowOff>
        </xdr:to>
        <xdr:sp macro="" textlink="">
          <xdr:nvSpPr>
            <xdr:cNvPr id="84002" name="Button 34" hidden="1">
              <a:extLst>
                <a:ext uri="{63B3BB69-23CF-44E3-9099-C40C66FF867C}">
                  <a14:compatExt spid="_x0000_s84002"/>
                </a:ext>
                <a:ext uri="{FF2B5EF4-FFF2-40B4-BE49-F238E27FC236}">
                  <a16:creationId xmlns:a16="http://schemas.microsoft.com/office/drawing/2014/main" id="{00000000-0008-0000-1700-000022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84003" name="Button 35" hidden="1">
              <a:extLst>
                <a:ext uri="{63B3BB69-23CF-44E3-9099-C40C66FF867C}">
                  <a14:compatExt spid="_x0000_s84003"/>
                </a:ext>
                <a:ext uri="{FF2B5EF4-FFF2-40B4-BE49-F238E27FC236}">
                  <a16:creationId xmlns:a16="http://schemas.microsoft.com/office/drawing/2014/main" id="{00000000-0008-0000-1700-000023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84004" name="Button 36" hidden="1">
              <a:extLst>
                <a:ext uri="{63B3BB69-23CF-44E3-9099-C40C66FF867C}">
                  <a14:compatExt spid="_x0000_s84004"/>
                </a:ext>
                <a:ext uri="{FF2B5EF4-FFF2-40B4-BE49-F238E27FC236}">
                  <a16:creationId xmlns:a16="http://schemas.microsoft.com/office/drawing/2014/main" id="{00000000-0008-0000-1700-000024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84005" name="Button 37" hidden="1">
              <a:extLst>
                <a:ext uri="{63B3BB69-23CF-44E3-9099-C40C66FF867C}">
                  <a14:compatExt spid="_x0000_s84005"/>
                </a:ext>
                <a:ext uri="{FF2B5EF4-FFF2-40B4-BE49-F238E27FC236}">
                  <a16:creationId xmlns:a16="http://schemas.microsoft.com/office/drawing/2014/main" id="{00000000-0008-0000-1700-000025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158</xdr:col>
          <xdr:colOff>50800</xdr:colOff>
          <xdr:row>0</xdr:row>
          <xdr:rowOff>50800</xdr:rowOff>
        </xdr:from>
        <xdr:to>
          <xdr:col>158</xdr:col>
          <xdr:colOff>393700</xdr:colOff>
          <xdr:row>1</xdr:row>
          <xdr:rowOff>50800</xdr:rowOff>
        </xdr:to>
        <xdr:sp macro="" textlink="">
          <xdr:nvSpPr>
            <xdr:cNvPr id="84006" name="Button 38" hidden="1">
              <a:extLst>
                <a:ext uri="{63B3BB69-23CF-44E3-9099-C40C66FF867C}">
                  <a14:compatExt spid="_x0000_s84006"/>
                </a:ext>
                <a:ext uri="{FF2B5EF4-FFF2-40B4-BE49-F238E27FC236}">
                  <a16:creationId xmlns:a16="http://schemas.microsoft.com/office/drawing/2014/main" id="{00000000-0008-0000-1700-000026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84007" name="Button 39" hidden="1">
              <a:extLst>
                <a:ext uri="{63B3BB69-23CF-44E3-9099-C40C66FF867C}">
                  <a14:compatExt spid="_x0000_s84007"/>
                </a:ext>
                <a:ext uri="{FF2B5EF4-FFF2-40B4-BE49-F238E27FC236}">
                  <a16:creationId xmlns:a16="http://schemas.microsoft.com/office/drawing/2014/main" id="{00000000-0008-0000-1700-000027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84008" name="Button 40" hidden="1">
              <a:extLst>
                <a:ext uri="{63B3BB69-23CF-44E3-9099-C40C66FF867C}">
                  <a14:compatExt spid="_x0000_s84008"/>
                </a:ext>
                <a:ext uri="{FF2B5EF4-FFF2-40B4-BE49-F238E27FC236}">
                  <a16:creationId xmlns:a16="http://schemas.microsoft.com/office/drawing/2014/main" id="{00000000-0008-0000-1700-000028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84009" name="Button 41" hidden="1">
              <a:extLst>
                <a:ext uri="{63B3BB69-23CF-44E3-9099-C40C66FF867C}">
                  <a14:compatExt spid="_x0000_s84009"/>
                </a:ext>
                <a:ext uri="{FF2B5EF4-FFF2-40B4-BE49-F238E27FC236}">
                  <a16:creationId xmlns:a16="http://schemas.microsoft.com/office/drawing/2014/main" id="{00000000-0008-0000-1700-000029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173</xdr:col>
          <xdr:colOff>361950</xdr:colOff>
          <xdr:row>0</xdr:row>
          <xdr:rowOff>50800</xdr:rowOff>
        </xdr:from>
        <xdr:to>
          <xdr:col>174</xdr:col>
          <xdr:colOff>285750</xdr:colOff>
          <xdr:row>1</xdr:row>
          <xdr:rowOff>50800</xdr:rowOff>
        </xdr:to>
        <xdr:sp macro="" textlink="">
          <xdr:nvSpPr>
            <xdr:cNvPr id="84010" name="Button 42" hidden="1">
              <a:extLst>
                <a:ext uri="{63B3BB69-23CF-44E3-9099-C40C66FF867C}">
                  <a14:compatExt spid="_x0000_s84010"/>
                </a:ext>
                <a:ext uri="{FF2B5EF4-FFF2-40B4-BE49-F238E27FC236}">
                  <a16:creationId xmlns:a16="http://schemas.microsoft.com/office/drawing/2014/main" id="{00000000-0008-0000-1700-00002A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84011" name="Button 43" hidden="1">
              <a:extLst>
                <a:ext uri="{63B3BB69-23CF-44E3-9099-C40C66FF867C}">
                  <a14:compatExt spid="_x0000_s84011"/>
                </a:ext>
                <a:ext uri="{FF2B5EF4-FFF2-40B4-BE49-F238E27FC236}">
                  <a16:creationId xmlns:a16="http://schemas.microsoft.com/office/drawing/2014/main" id="{00000000-0008-0000-1700-00002B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84012" name="Button 44" hidden="1">
              <a:extLst>
                <a:ext uri="{63B3BB69-23CF-44E3-9099-C40C66FF867C}">
                  <a14:compatExt spid="_x0000_s84012"/>
                </a:ext>
                <a:ext uri="{FF2B5EF4-FFF2-40B4-BE49-F238E27FC236}">
                  <a16:creationId xmlns:a16="http://schemas.microsoft.com/office/drawing/2014/main" id="{00000000-0008-0000-1700-00002C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84013" name="Button 45" hidden="1">
              <a:extLst>
                <a:ext uri="{63B3BB69-23CF-44E3-9099-C40C66FF867C}">
                  <a14:compatExt spid="_x0000_s84013"/>
                </a:ext>
                <a:ext uri="{FF2B5EF4-FFF2-40B4-BE49-F238E27FC236}">
                  <a16:creationId xmlns:a16="http://schemas.microsoft.com/office/drawing/2014/main" id="{00000000-0008-0000-1700-00002D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189</xdr:col>
          <xdr:colOff>260350</xdr:colOff>
          <xdr:row>0</xdr:row>
          <xdr:rowOff>50800</xdr:rowOff>
        </xdr:from>
        <xdr:to>
          <xdr:col>190</xdr:col>
          <xdr:colOff>184150</xdr:colOff>
          <xdr:row>1</xdr:row>
          <xdr:rowOff>50800</xdr:rowOff>
        </xdr:to>
        <xdr:sp macro="" textlink="">
          <xdr:nvSpPr>
            <xdr:cNvPr id="84014" name="Button 46" hidden="1">
              <a:extLst>
                <a:ext uri="{63B3BB69-23CF-44E3-9099-C40C66FF867C}">
                  <a14:compatExt spid="_x0000_s84014"/>
                </a:ext>
                <a:ext uri="{FF2B5EF4-FFF2-40B4-BE49-F238E27FC236}">
                  <a16:creationId xmlns:a16="http://schemas.microsoft.com/office/drawing/2014/main" id="{00000000-0008-0000-1700-00002E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84015" name="Button 47" hidden="1">
              <a:extLst>
                <a:ext uri="{63B3BB69-23CF-44E3-9099-C40C66FF867C}">
                  <a14:compatExt spid="_x0000_s84015"/>
                </a:ext>
                <a:ext uri="{FF2B5EF4-FFF2-40B4-BE49-F238E27FC236}">
                  <a16:creationId xmlns:a16="http://schemas.microsoft.com/office/drawing/2014/main" id="{00000000-0008-0000-1700-00002F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84016" name="Button 48" hidden="1">
              <a:extLst>
                <a:ext uri="{63B3BB69-23CF-44E3-9099-C40C66FF867C}">
                  <a14:compatExt spid="_x0000_s84016"/>
                </a:ext>
                <a:ext uri="{FF2B5EF4-FFF2-40B4-BE49-F238E27FC236}">
                  <a16:creationId xmlns:a16="http://schemas.microsoft.com/office/drawing/2014/main" id="{00000000-0008-0000-1700-000030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84017" name="Button 49" hidden="1">
              <a:extLst>
                <a:ext uri="{63B3BB69-23CF-44E3-9099-C40C66FF867C}">
                  <a14:compatExt spid="_x0000_s84017"/>
                </a:ext>
                <a:ext uri="{FF2B5EF4-FFF2-40B4-BE49-F238E27FC236}">
                  <a16:creationId xmlns:a16="http://schemas.microsoft.com/office/drawing/2014/main" id="{00000000-0008-0000-1700-000031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205</xdr:col>
          <xdr:colOff>165100</xdr:colOff>
          <xdr:row>0</xdr:row>
          <xdr:rowOff>50800</xdr:rowOff>
        </xdr:from>
        <xdr:to>
          <xdr:col>206</xdr:col>
          <xdr:colOff>88900</xdr:colOff>
          <xdr:row>1</xdr:row>
          <xdr:rowOff>50800</xdr:rowOff>
        </xdr:to>
        <xdr:sp macro="" textlink="">
          <xdr:nvSpPr>
            <xdr:cNvPr id="84018" name="Button 50" hidden="1">
              <a:extLst>
                <a:ext uri="{63B3BB69-23CF-44E3-9099-C40C66FF867C}">
                  <a14:compatExt spid="_x0000_s84018"/>
                </a:ext>
                <a:ext uri="{FF2B5EF4-FFF2-40B4-BE49-F238E27FC236}">
                  <a16:creationId xmlns:a16="http://schemas.microsoft.com/office/drawing/2014/main" id="{00000000-0008-0000-1700-000032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84019" name="Button 51" hidden="1">
              <a:extLst>
                <a:ext uri="{63B3BB69-23CF-44E3-9099-C40C66FF867C}">
                  <a14:compatExt spid="_x0000_s84019"/>
                </a:ext>
                <a:ext uri="{FF2B5EF4-FFF2-40B4-BE49-F238E27FC236}">
                  <a16:creationId xmlns:a16="http://schemas.microsoft.com/office/drawing/2014/main" id="{00000000-0008-0000-1700-000033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84020" name="Button 52" hidden="1">
              <a:extLst>
                <a:ext uri="{63B3BB69-23CF-44E3-9099-C40C66FF867C}">
                  <a14:compatExt spid="_x0000_s84020"/>
                </a:ext>
                <a:ext uri="{FF2B5EF4-FFF2-40B4-BE49-F238E27FC236}">
                  <a16:creationId xmlns:a16="http://schemas.microsoft.com/office/drawing/2014/main" id="{00000000-0008-0000-1700-000034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84021" name="Button 53" hidden="1">
              <a:extLst>
                <a:ext uri="{63B3BB69-23CF-44E3-9099-C40C66FF867C}">
                  <a14:compatExt spid="_x0000_s84021"/>
                </a:ext>
                <a:ext uri="{FF2B5EF4-FFF2-40B4-BE49-F238E27FC236}">
                  <a16:creationId xmlns:a16="http://schemas.microsoft.com/office/drawing/2014/main" id="{00000000-0008-0000-1700-000035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221</xdr:col>
          <xdr:colOff>57150</xdr:colOff>
          <xdr:row>0</xdr:row>
          <xdr:rowOff>50800</xdr:rowOff>
        </xdr:from>
        <xdr:to>
          <xdr:col>221</xdr:col>
          <xdr:colOff>393700</xdr:colOff>
          <xdr:row>1</xdr:row>
          <xdr:rowOff>50800</xdr:rowOff>
        </xdr:to>
        <xdr:sp macro="" textlink="">
          <xdr:nvSpPr>
            <xdr:cNvPr id="84022" name="Button 54" hidden="1">
              <a:extLst>
                <a:ext uri="{63B3BB69-23CF-44E3-9099-C40C66FF867C}">
                  <a14:compatExt spid="_x0000_s84022"/>
                </a:ext>
                <a:ext uri="{FF2B5EF4-FFF2-40B4-BE49-F238E27FC236}">
                  <a16:creationId xmlns:a16="http://schemas.microsoft.com/office/drawing/2014/main" id="{00000000-0008-0000-1700-000036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84023" name="Button 55" hidden="1">
              <a:extLst>
                <a:ext uri="{63B3BB69-23CF-44E3-9099-C40C66FF867C}">
                  <a14:compatExt spid="_x0000_s84023"/>
                </a:ext>
                <a:ext uri="{FF2B5EF4-FFF2-40B4-BE49-F238E27FC236}">
                  <a16:creationId xmlns:a16="http://schemas.microsoft.com/office/drawing/2014/main" id="{00000000-0008-0000-1700-000037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84024" name="Button 56" hidden="1">
              <a:extLst>
                <a:ext uri="{63B3BB69-23CF-44E3-9099-C40C66FF867C}">
                  <a14:compatExt spid="_x0000_s84024"/>
                </a:ext>
                <a:ext uri="{FF2B5EF4-FFF2-40B4-BE49-F238E27FC236}">
                  <a16:creationId xmlns:a16="http://schemas.microsoft.com/office/drawing/2014/main" id="{00000000-0008-0000-1700-000038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84025" name="Button 57" hidden="1">
              <a:extLst>
                <a:ext uri="{63B3BB69-23CF-44E3-9099-C40C66FF867C}">
                  <a14:compatExt spid="_x0000_s84025"/>
                </a:ext>
                <a:ext uri="{FF2B5EF4-FFF2-40B4-BE49-F238E27FC236}">
                  <a16:creationId xmlns:a16="http://schemas.microsoft.com/office/drawing/2014/main" id="{00000000-0008-0000-1700-000039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236</xdr:col>
          <xdr:colOff>361950</xdr:colOff>
          <xdr:row>0</xdr:row>
          <xdr:rowOff>50800</xdr:rowOff>
        </xdr:from>
        <xdr:to>
          <xdr:col>237</xdr:col>
          <xdr:colOff>298450</xdr:colOff>
          <xdr:row>1</xdr:row>
          <xdr:rowOff>50800</xdr:rowOff>
        </xdr:to>
        <xdr:sp macro="" textlink="">
          <xdr:nvSpPr>
            <xdr:cNvPr id="84026" name="Button 58" hidden="1">
              <a:extLst>
                <a:ext uri="{63B3BB69-23CF-44E3-9099-C40C66FF867C}">
                  <a14:compatExt spid="_x0000_s84026"/>
                </a:ext>
                <a:ext uri="{FF2B5EF4-FFF2-40B4-BE49-F238E27FC236}">
                  <a16:creationId xmlns:a16="http://schemas.microsoft.com/office/drawing/2014/main" id="{00000000-0008-0000-1700-00003A4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203200</xdr:colOff>
          <xdr:row>2</xdr:row>
          <xdr:rowOff>95250</xdr:rowOff>
        </xdr:from>
        <xdr:to>
          <xdr:col>6</xdr:col>
          <xdr:colOff>88900</xdr:colOff>
          <xdr:row>4</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19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4</xdr:row>
          <xdr:rowOff>31750</xdr:rowOff>
        </xdr:from>
        <xdr:to>
          <xdr:col>6</xdr:col>
          <xdr:colOff>88900</xdr:colOff>
          <xdr:row>5</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9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5</xdr:row>
          <xdr:rowOff>88900</xdr:rowOff>
        </xdr:from>
        <xdr:to>
          <xdr:col>6</xdr:col>
          <xdr:colOff>88900</xdr:colOff>
          <xdr:row>7</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19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7</xdr:row>
          <xdr:rowOff>76200</xdr:rowOff>
        </xdr:from>
        <xdr:to>
          <xdr:col>5</xdr:col>
          <xdr:colOff>0</xdr:colOff>
          <xdr:row>9</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19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9</xdr:row>
          <xdr:rowOff>88900</xdr:rowOff>
        </xdr:from>
        <xdr:to>
          <xdr:col>6</xdr:col>
          <xdr:colOff>88900</xdr:colOff>
          <xdr:row>11</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19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10</xdr:row>
          <xdr:rowOff>88900</xdr:rowOff>
        </xdr:from>
        <xdr:to>
          <xdr:col>5</xdr:col>
          <xdr:colOff>0</xdr:colOff>
          <xdr:row>12</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19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11</xdr:row>
          <xdr:rowOff>88900</xdr:rowOff>
        </xdr:from>
        <xdr:to>
          <xdr:col>5</xdr:col>
          <xdr:colOff>0</xdr:colOff>
          <xdr:row>13</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19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12</xdr:row>
          <xdr:rowOff>88900</xdr:rowOff>
        </xdr:from>
        <xdr:to>
          <xdr:col>5</xdr:col>
          <xdr:colOff>0</xdr:colOff>
          <xdr:row>14</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19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13</xdr:row>
          <xdr:rowOff>88900</xdr:rowOff>
        </xdr:from>
        <xdr:to>
          <xdr:col>5</xdr:col>
          <xdr:colOff>0</xdr:colOff>
          <xdr:row>15</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19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14</xdr:row>
          <xdr:rowOff>95250</xdr:rowOff>
        </xdr:from>
        <xdr:to>
          <xdr:col>5</xdr:col>
          <xdr:colOff>0</xdr:colOff>
          <xdr:row>16</xdr:row>
          <xdr:rowOff>31750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19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15</xdr:row>
          <xdr:rowOff>88900</xdr:rowOff>
        </xdr:from>
        <xdr:to>
          <xdr:col>5</xdr:col>
          <xdr:colOff>0</xdr:colOff>
          <xdr:row>17</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19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16</xdr:row>
          <xdr:rowOff>88900</xdr:rowOff>
        </xdr:from>
        <xdr:to>
          <xdr:col>5</xdr:col>
          <xdr:colOff>0</xdr:colOff>
          <xdr:row>18</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19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17</xdr:row>
          <xdr:rowOff>88900</xdr:rowOff>
        </xdr:from>
        <xdr:to>
          <xdr:col>5</xdr:col>
          <xdr:colOff>0</xdr:colOff>
          <xdr:row>19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19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xdr:row>
          <xdr:rowOff>88900</xdr:rowOff>
        </xdr:from>
        <xdr:to>
          <xdr:col>5</xdr:col>
          <xdr:colOff>0</xdr:colOff>
          <xdr:row>20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19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19</xdr:row>
          <xdr:rowOff>88900</xdr:rowOff>
        </xdr:from>
        <xdr:to>
          <xdr:col>5</xdr:col>
          <xdr:colOff>0</xdr:colOff>
          <xdr:row>21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19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20</xdr:row>
          <xdr:rowOff>88900</xdr:rowOff>
        </xdr:from>
        <xdr:to>
          <xdr:col>5</xdr:col>
          <xdr:colOff>0</xdr:colOff>
          <xdr:row>22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19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21</xdr:row>
          <xdr:rowOff>88900</xdr:rowOff>
        </xdr:from>
        <xdr:to>
          <xdr:col>5</xdr:col>
          <xdr:colOff>0</xdr:colOff>
          <xdr:row>23</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19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22</xdr:row>
          <xdr:rowOff>88900</xdr:rowOff>
        </xdr:from>
        <xdr:to>
          <xdr:col>5</xdr:col>
          <xdr:colOff>0</xdr:colOff>
          <xdr:row>24</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19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23</xdr:row>
          <xdr:rowOff>88900</xdr:rowOff>
        </xdr:from>
        <xdr:to>
          <xdr:col>5</xdr:col>
          <xdr:colOff>0</xdr:colOff>
          <xdr:row>25</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19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6977" name="Button 1" hidden="1">
              <a:extLst>
                <a:ext uri="{63B3BB69-23CF-44E3-9099-C40C66FF867C}">
                  <a14:compatExt spid="_x0000_s126977"/>
                </a:ext>
                <a:ext uri="{FF2B5EF4-FFF2-40B4-BE49-F238E27FC236}">
                  <a16:creationId xmlns:a16="http://schemas.microsoft.com/office/drawing/2014/main" id="{00000000-0008-0000-0300-000001F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6978" name="Button 2" hidden="1">
              <a:extLst>
                <a:ext uri="{63B3BB69-23CF-44E3-9099-C40C66FF867C}">
                  <a14:compatExt spid="_x0000_s126978"/>
                </a:ext>
                <a:ext uri="{FF2B5EF4-FFF2-40B4-BE49-F238E27FC236}">
                  <a16:creationId xmlns:a16="http://schemas.microsoft.com/office/drawing/2014/main" id="{00000000-0008-0000-0300-000002F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26979" name="Button 3" hidden="1">
              <a:extLst>
                <a:ext uri="{63B3BB69-23CF-44E3-9099-C40C66FF867C}">
                  <a14:compatExt spid="_x0000_s126979"/>
                </a:ext>
                <a:ext uri="{FF2B5EF4-FFF2-40B4-BE49-F238E27FC236}">
                  <a16:creationId xmlns:a16="http://schemas.microsoft.com/office/drawing/2014/main" id="{00000000-0008-0000-0300-000003F0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47105" name="Button 1" hidden="1">
              <a:extLst>
                <a:ext uri="{63B3BB69-23CF-44E3-9099-C40C66FF867C}">
                  <a14:compatExt spid="_x0000_s47105"/>
                </a:ext>
                <a:ext uri="{FF2B5EF4-FFF2-40B4-BE49-F238E27FC236}">
                  <a16:creationId xmlns:a16="http://schemas.microsoft.com/office/drawing/2014/main" id="{00000000-0008-0000-0400-000001B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47107" name="Button 3" hidden="1">
              <a:extLst>
                <a:ext uri="{63B3BB69-23CF-44E3-9099-C40C66FF867C}">
                  <a14:compatExt spid="_x0000_s47107"/>
                </a:ext>
                <a:ext uri="{FF2B5EF4-FFF2-40B4-BE49-F238E27FC236}">
                  <a16:creationId xmlns:a16="http://schemas.microsoft.com/office/drawing/2014/main" id="{00000000-0008-0000-0400-000003B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47108" name="Button 4" hidden="1">
              <a:extLst>
                <a:ext uri="{63B3BB69-23CF-44E3-9099-C40C66FF867C}">
                  <a14:compatExt spid="_x0000_s47108"/>
                </a:ext>
                <a:ext uri="{FF2B5EF4-FFF2-40B4-BE49-F238E27FC236}">
                  <a16:creationId xmlns:a16="http://schemas.microsoft.com/office/drawing/2014/main" id="{00000000-0008-0000-0400-000004B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4753" name="Button 1" hidden="1">
              <a:extLst>
                <a:ext uri="{63B3BB69-23CF-44E3-9099-C40C66FF867C}">
                  <a14:compatExt spid="_x0000_s74753"/>
                </a:ext>
                <a:ext uri="{FF2B5EF4-FFF2-40B4-BE49-F238E27FC236}">
                  <a16:creationId xmlns:a16="http://schemas.microsoft.com/office/drawing/2014/main" id="{00000000-0008-0000-0500-0000012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393700</xdr:colOff>
          <xdr:row>86</xdr:row>
          <xdr:rowOff>38100</xdr:rowOff>
        </xdr:from>
        <xdr:to>
          <xdr:col>30</xdr:col>
          <xdr:colOff>165100</xdr:colOff>
          <xdr:row>87</xdr:row>
          <xdr:rowOff>88900</xdr:rowOff>
        </xdr:to>
        <xdr:sp macro="" textlink="">
          <xdr:nvSpPr>
            <xdr:cNvPr id="74754" name="Button 2" hidden="1">
              <a:extLst>
                <a:ext uri="{63B3BB69-23CF-44E3-9099-C40C66FF867C}">
                  <a14:compatExt spid="_x0000_s74754"/>
                </a:ext>
                <a:ext uri="{FF2B5EF4-FFF2-40B4-BE49-F238E27FC236}">
                  <a16:creationId xmlns:a16="http://schemas.microsoft.com/office/drawing/2014/main" id="{00000000-0008-0000-0500-00000224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2705" name="Button 1" hidden="1">
              <a:extLst>
                <a:ext uri="{63B3BB69-23CF-44E3-9099-C40C66FF867C}">
                  <a14:compatExt spid="_x0000_s72705"/>
                </a:ext>
                <a:ext uri="{FF2B5EF4-FFF2-40B4-BE49-F238E27FC236}">
                  <a16:creationId xmlns:a16="http://schemas.microsoft.com/office/drawing/2014/main" id="{00000000-0008-0000-0600-000001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2706" name="Button 2" hidden="1">
              <a:extLst>
                <a:ext uri="{63B3BB69-23CF-44E3-9099-C40C66FF867C}">
                  <a14:compatExt spid="_x0000_s72706"/>
                </a:ext>
                <a:ext uri="{FF2B5EF4-FFF2-40B4-BE49-F238E27FC236}">
                  <a16:creationId xmlns:a16="http://schemas.microsoft.com/office/drawing/2014/main" id="{00000000-0008-0000-0600-000002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2707" name="Button 3" hidden="1">
              <a:extLst>
                <a:ext uri="{63B3BB69-23CF-44E3-9099-C40C66FF867C}">
                  <a14:compatExt spid="_x0000_s72707"/>
                </a:ext>
                <a:ext uri="{FF2B5EF4-FFF2-40B4-BE49-F238E27FC236}">
                  <a16:creationId xmlns:a16="http://schemas.microsoft.com/office/drawing/2014/main" id="{00000000-0008-0000-0600-000003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72708" name="Button 4" hidden="1">
              <a:extLst>
                <a:ext uri="{63B3BB69-23CF-44E3-9099-C40C66FF867C}">
                  <a14:compatExt spid="_x0000_s72708"/>
                </a:ext>
                <a:ext uri="{FF2B5EF4-FFF2-40B4-BE49-F238E27FC236}">
                  <a16:creationId xmlns:a16="http://schemas.microsoft.com/office/drawing/2014/main" id="{00000000-0008-0000-0600-000004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400050</xdr:colOff>
          <xdr:row>77</xdr:row>
          <xdr:rowOff>31750</xdr:rowOff>
        </xdr:from>
        <xdr:to>
          <xdr:col>14</xdr:col>
          <xdr:colOff>755650</xdr:colOff>
          <xdr:row>78</xdr:row>
          <xdr:rowOff>76200</xdr:rowOff>
        </xdr:to>
        <xdr:sp macro="" textlink="">
          <xdr:nvSpPr>
            <xdr:cNvPr id="72709" name="Button 5" hidden="1">
              <a:extLst>
                <a:ext uri="{63B3BB69-23CF-44E3-9099-C40C66FF867C}">
                  <a14:compatExt spid="_x0000_s72709"/>
                </a:ext>
                <a:ext uri="{FF2B5EF4-FFF2-40B4-BE49-F238E27FC236}">
                  <a16:creationId xmlns:a16="http://schemas.microsoft.com/office/drawing/2014/main" id="{00000000-0008-0000-0600-0000051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50800</xdr:rowOff>
        </xdr:to>
        <xdr:sp macro="" textlink="">
          <xdr:nvSpPr>
            <xdr:cNvPr id="105473" name="Button 1" hidden="1">
              <a:extLst>
                <a:ext uri="{63B3BB69-23CF-44E3-9099-C40C66FF867C}">
                  <a14:compatExt spid="_x0000_s105473"/>
                </a:ext>
                <a:ext uri="{FF2B5EF4-FFF2-40B4-BE49-F238E27FC236}">
                  <a16:creationId xmlns:a16="http://schemas.microsoft.com/office/drawing/2014/main" id="{00000000-0008-0000-0700-0000019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393700</xdr:colOff>
          <xdr:row>86</xdr:row>
          <xdr:rowOff>38100</xdr:rowOff>
        </xdr:from>
        <xdr:to>
          <xdr:col>30</xdr:col>
          <xdr:colOff>165100</xdr:colOff>
          <xdr:row>87</xdr:row>
          <xdr:rowOff>88900</xdr:rowOff>
        </xdr:to>
        <xdr:sp macro="" textlink="">
          <xdr:nvSpPr>
            <xdr:cNvPr id="105474" name="Button 2" hidden="1">
              <a:extLst>
                <a:ext uri="{63B3BB69-23CF-44E3-9099-C40C66FF867C}">
                  <a14:compatExt spid="_x0000_s105474"/>
                </a:ext>
                <a:ext uri="{FF2B5EF4-FFF2-40B4-BE49-F238E27FC236}">
                  <a16:creationId xmlns:a16="http://schemas.microsoft.com/office/drawing/2014/main" id="{00000000-0008-0000-0700-0000029C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31750</xdr:rowOff>
        </xdr:from>
        <xdr:to>
          <xdr:col>0</xdr:col>
          <xdr:colOff>381000</xdr:colOff>
          <xdr:row>0</xdr:row>
          <xdr:rowOff>165100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0800-0000016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50800</xdr:rowOff>
        </xdr:from>
        <xdr:to>
          <xdr:col>15</xdr:col>
          <xdr:colOff>546100</xdr:colOff>
          <xdr:row>73</xdr:row>
          <xdr:rowOff>107950</xdr:rowOff>
        </xdr:to>
        <xdr:sp macro="" textlink="">
          <xdr:nvSpPr>
            <xdr:cNvPr id="24591" name="Button 15" hidden="1">
              <a:extLst>
                <a:ext uri="{63B3BB69-23CF-44E3-9099-C40C66FF867C}">
                  <a14:compatExt spid="_x0000_s24591"/>
                </a:ext>
                <a:ext uri="{FF2B5EF4-FFF2-40B4-BE49-F238E27FC236}">
                  <a16:creationId xmlns:a16="http://schemas.microsoft.com/office/drawing/2014/main" id="{00000000-0008-0000-0800-00000F6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24592" name="Button 16" hidden="1">
              <a:extLst>
                <a:ext uri="{63B3BB69-23CF-44E3-9099-C40C66FF867C}">
                  <a14:compatExt spid="_x0000_s24592"/>
                </a:ext>
                <a:ext uri="{FF2B5EF4-FFF2-40B4-BE49-F238E27FC236}">
                  <a16:creationId xmlns:a16="http://schemas.microsoft.com/office/drawing/2014/main" id="{00000000-0008-0000-0800-0000106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24593" name="Button 17" hidden="1">
              <a:extLst>
                <a:ext uri="{63B3BB69-23CF-44E3-9099-C40C66FF867C}">
                  <a14:compatExt spid="_x0000_s24593"/>
                </a:ext>
                <a:ext uri="{FF2B5EF4-FFF2-40B4-BE49-F238E27FC236}">
                  <a16:creationId xmlns:a16="http://schemas.microsoft.com/office/drawing/2014/main" id="{00000000-0008-0000-0800-0000116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24594" name="Button 18" hidden="1">
              <a:extLst>
                <a:ext uri="{63B3BB69-23CF-44E3-9099-C40C66FF867C}">
                  <a14:compatExt spid="_x0000_s24594"/>
                </a:ext>
                <a:ext uri="{FF2B5EF4-FFF2-40B4-BE49-F238E27FC236}">
                  <a16:creationId xmlns:a16="http://schemas.microsoft.com/office/drawing/2014/main" id="{00000000-0008-0000-0800-0000126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24595" name="Button 19" hidden="1">
              <a:extLst>
                <a:ext uri="{63B3BB69-23CF-44E3-9099-C40C66FF867C}">
                  <a14:compatExt spid="_x0000_s24595"/>
                </a:ext>
                <a:ext uri="{FF2B5EF4-FFF2-40B4-BE49-F238E27FC236}">
                  <a16:creationId xmlns:a16="http://schemas.microsoft.com/office/drawing/2014/main" id="{00000000-0008-0000-0800-0000136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31750</xdr:rowOff>
        </xdr:from>
        <xdr:to>
          <xdr:col>0</xdr:col>
          <xdr:colOff>381000</xdr:colOff>
          <xdr:row>0</xdr:row>
          <xdr:rowOff>165100</xdr:rowOff>
        </xdr:to>
        <xdr:sp macro="" textlink="">
          <xdr:nvSpPr>
            <xdr:cNvPr id="75777" name="Button 1" hidden="1">
              <a:extLst>
                <a:ext uri="{63B3BB69-23CF-44E3-9099-C40C66FF867C}">
                  <a14:compatExt spid="_x0000_s75777"/>
                </a:ext>
                <a:ext uri="{FF2B5EF4-FFF2-40B4-BE49-F238E27FC236}">
                  <a16:creationId xmlns:a16="http://schemas.microsoft.com/office/drawing/2014/main" id="{00000000-0008-0000-0900-000001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73</xdr:row>
          <xdr:rowOff>50800</xdr:rowOff>
        </xdr:from>
        <xdr:to>
          <xdr:col>15</xdr:col>
          <xdr:colOff>546100</xdr:colOff>
          <xdr:row>74</xdr:row>
          <xdr:rowOff>107950</xdr:rowOff>
        </xdr:to>
        <xdr:sp macro="" textlink="">
          <xdr:nvSpPr>
            <xdr:cNvPr id="75778" name="Button 2" hidden="1">
              <a:extLst>
                <a:ext uri="{63B3BB69-23CF-44E3-9099-C40C66FF867C}">
                  <a14:compatExt spid="_x0000_s75778"/>
                </a:ext>
                <a:ext uri="{FF2B5EF4-FFF2-40B4-BE49-F238E27FC236}">
                  <a16:creationId xmlns:a16="http://schemas.microsoft.com/office/drawing/2014/main" id="{00000000-0008-0000-0900-000002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75779" name="Button 3" hidden="1">
              <a:extLst>
                <a:ext uri="{63B3BB69-23CF-44E3-9099-C40C66FF867C}">
                  <a14:compatExt spid="_x0000_s75779"/>
                </a:ext>
                <a:ext uri="{FF2B5EF4-FFF2-40B4-BE49-F238E27FC236}">
                  <a16:creationId xmlns:a16="http://schemas.microsoft.com/office/drawing/2014/main" id="{00000000-0008-0000-0900-000003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75780" name="Button 4" hidden="1">
              <a:extLst>
                <a:ext uri="{63B3BB69-23CF-44E3-9099-C40C66FF867C}">
                  <a14:compatExt spid="_x0000_s75780"/>
                </a:ext>
                <a:ext uri="{FF2B5EF4-FFF2-40B4-BE49-F238E27FC236}">
                  <a16:creationId xmlns:a16="http://schemas.microsoft.com/office/drawing/2014/main" id="{00000000-0008-0000-0900-000004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75781" name="Button 5" hidden="1">
              <a:extLst>
                <a:ext uri="{63B3BB69-23CF-44E3-9099-C40C66FF867C}">
                  <a14:compatExt spid="_x0000_s75781"/>
                </a:ext>
                <a:ext uri="{FF2B5EF4-FFF2-40B4-BE49-F238E27FC236}">
                  <a16:creationId xmlns:a16="http://schemas.microsoft.com/office/drawing/2014/main" id="{00000000-0008-0000-0900-000005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393700</xdr:colOff>
          <xdr:row>1</xdr:row>
          <xdr:rowOff>38100</xdr:rowOff>
        </xdr:to>
        <xdr:sp macro="" textlink="">
          <xdr:nvSpPr>
            <xdr:cNvPr id="75782" name="Button 6" hidden="1">
              <a:extLst>
                <a:ext uri="{63B3BB69-23CF-44E3-9099-C40C66FF867C}">
                  <a14:compatExt spid="_x0000_s75782"/>
                </a:ext>
                <a:ext uri="{FF2B5EF4-FFF2-40B4-BE49-F238E27FC236}">
                  <a16:creationId xmlns:a16="http://schemas.microsoft.com/office/drawing/2014/main" id="{00000000-0008-0000-0900-0000062801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Return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9.vml"/><Relationship Id="rId7" Type="http://schemas.openxmlformats.org/officeDocument/2006/relationships/ctrlProp" Target="../ctrlProps/ctrlProp34.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11.vml"/><Relationship Id="rId7" Type="http://schemas.openxmlformats.org/officeDocument/2006/relationships/ctrlProp" Target="../ctrlProps/ctrlProp45.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50" Type="http://schemas.openxmlformats.org/officeDocument/2006/relationships/ctrlProp" Target="../ctrlProps/ctrlProp94.xml"/><Relationship Id="rId55" Type="http://schemas.openxmlformats.org/officeDocument/2006/relationships/ctrlProp" Target="../ctrlProps/ctrlProp99.xml"/><Relationship Id="rId7" Type="http://schemas.openxmlformats.org/officeDocument/2006/relationships/ctrlProp" Target="../ctrlProps/ctrlProp51.xml"/><Relationship Id="rId2" Type="http://schemas.openxmlformats.org/officeDocument/2006/relationships/drawing" Target="../drawings/drawing12.xml"/><Relationship Id="rId16" Type="http://schemas.openxmlformats.org/officeDocument/2006/relationships/ctrlProp" Target="../ctrlProps/ctrlProp60.xml"/><Relationship Id="rId29" Type="http://schemas.openxmlformats.org/officeDocument/2006/relationships/ctrlProp" Target="../ctrlProps/ctrlProp73.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3" Type="http://schemas.openxmlformats.org/officeDocument/2006/relationships/ctrlProp" Target="../ctrlProps/ctrlProp97.xml"/><Relationship Id="rId58" Type="http://schemas.openxmlformats.org/officeDocument/2006/relationships/ctrlProp" Target="../ctrlProps/ctrlProp102.xml"/><Relationship Id="rId5" Type="http://schemas.openxmlformats.org/officeDocument/2006/relationships/ctrlProp" Target="../ctrlProps/ctrlProp49.xml"/><Relationship Id="rId61" Type="http://schemas.openxmlformats.org/officeDocument/2006/relationships/ctrlProp" Target="../ctrlProps/ctrlProp105.xml"/><Relationship Id="rId19" Type="http://schemas.openxmlformats.org/officeDocument/2006/relationships/ctrlProp" Target="../ctrlProps/ctrlProp6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56" Type="http://schemas.openxmlformats.org/officeDocument/2006/relationships/ctrlProp" Target="../ctrlProps/ctrlProp100.xml"/><Relationship Id="rId8" Type="http://schemas.openxmlformats.org/officeDocument/2006/relationships/ctrlProp" Target="../ctrlProps/ctrlProp52.xml"/><Relationship Id="rId51" Type="http://schemas.openxmlformats.org/officeDocument/2006/relationships/ctrlProp" Target="../ctrlProps/ctrlProp95.xml"/><Relationship Id="rId3" Type="http://schemas.openxmlformats.org/officeDocument/2006/relationships/vmlDrawing" Target="../drawings/vmlDrawing12.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1" Type="http://schemas.openxmlformats.org/officeDocument/2006/relationships/printerSettings" Target="../printerSettings/printerSettings13.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 Id="rId10" Type="http://schemas.openxmlformats.org/officeDocument/2006/relationships/ctrlProp" Target="../ctrlProps/ctrlProp54.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9" Type="http://schemas.openxmlformats.org/officeDocument/2006/relationships/ctrlProp" Target="../ctrlProps/ctrlProp141.xml"/><Relationship Id="rId21" Type="http://schemas.openxmlformats.org/officeDocument/2006/relationships/ctrlProp" Target="../ctrlProps/ctrlProp123.xml"/><Relationship Id="rId34" Type="http://schemas.openxmlformats.org/officeDocument/2006/relationships/ctrlProp" Target="../ctrlProps/ctrlProp136.xml"/><Relationship Id="rId42" Type="http://schemas.openxmlformats.org/officeDocument/2006/relationships/ctrlProp" Target="../ctrlProps/ctrlProp144.xml"/><Relationship Id="rId47" Type="http://schemas.openxmlformats.org/officeDocument/2006/relationships/ctrlProp" Target="../ctrlProps/ctrlProp149.xml"/><Relationship Id="rId50" Type="http://schemas.openxmlformats.org/officeDocument/2006/relationships/ctrlProp" Target="../ctrlProps/ctrlProp152.xml"/><Relationship Id="rId55" Type="http://schemas.openxmlformats.org/officeDocument/2006/relationships/ctrlProp" Target="../ctrlProps/ctrlProp157.xml"/><Relationship Id="rId7" Type="http://schemas.openxmlformats.org/officeDocument/2006/relationships/ctrlProp" Target="../ctrlProps/ctrlProp109.xml"/><Relationship Id="rId2" Type="http://schemas.openxmlformats.org/officeDocument/2006/relationships/drawing" Target="../drawings/drawing13.xml"/><Relationship Id="rId16" Type="http://schemas.openxmlformats.org/officeDocument/2006/relationships/ctrlProp" Target="../ctrlProps/ctrlProp118.xml"/><Relationship Id="rId29" Type="http://schemas.openxmlformats.org/officeDocument/2006/relationships/ctrlProp" Target="../ctrlProps/ctrlProp131.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40" Type="http://schemas.openxmlformats.org/officeDocument/2006/relationships/ctrlProp" Target="../ctrlProps/ctrlProp142.xml"/><Relationship Id="rId45" Type="http://schemas.openxmlformats.org/officeDocument/2006/relationships/ctrlProp" Target="../ctrlProps/ctrlProp147.xml"/><Relationship Id="rId53" Type="http://schemas.openxmlformats.org/officeDocument/2006/relationships/ctrlProp" Target="../ctrlProps/ctrlProp155.xml"/><Relationship Id="rId58" Type="http://schemas.openxmlformats.org/officeDocument/2006/relationships/ctrlProp" Target="../ctrlProps/ctrlProp160.xml"/><Relationship Id="rId5" Type="http://schemas.openxmlformats.org/officeDocument/2006/relationships/ctrlProp" Target="../ctrlProps/ctrlProp107.xml"/><Relationship Id="rId61" Type="http://schemas.openxmlformats.org/officeDocument/2006/relationships/ctrlProp" Target="../ctrlProps/ctrlProp163.xml"/><Relationship Id="rId19" Type="http://schemas.openxmlformats.org/officeDocument/2006/relationships/ctrlProp" Target="../ctrlProps/ctrlProp12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43" Type="http://schemas.openxmlformats.org/officeDocument/2006/relationships/ctrlProp" Target="../ctrlProps/ctrlProp145.xml"/><Relationship Id="rId48" Type="http://schemas.openxmlformats.org/officeDocument/2006/relationships/ctrlProp" Target="../ctrlProps/ctrlProp150.xml"/><Relationship Id="rId56" Type="http://schemas.openxmlformats.org/officeDocument/2006/relationships/ctrlProp" Target="../ctrlProps/ctrlProp158.xml"/><Relationship Id="rId8" Type="http://schemas.openxmlformats.org/officeDocument/2006/relationships/ctrlProp" Target="../ctrlProps/ctrlProp110.xml"/><Relationship Id="rId51" Type="http://schemas.openxmlformats.org/officeDocument/2006/relationships/ctrlProp" Target="../ctrlProps/ctrlProp153.xml"/><Relationship Id="rId3" Type="http://schemas.openxmlformats.org/officeDocument/2006/relationships/vmlDrawing" Target="../drawings/vmlDrawing13.v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46" Type="http://schemas.openxmlformats.org/officeDocument/2006/relationships/ctrlProp" Target="../ctrlProps/ctrlProp148.xml"/><Relationship Id="rId59" Type="http://schemas.openxmlformats.org/officeDocument/2006/relationships/ctrlProp" Target="../ctrlProps/ctrlProp161.xml"/><Relationship Id="rId20" Type="http://schemas.openxmlformats.org/officeDocument/2006/relationships/ctrlProp" Target="../ctrlProps/ctrlProp122.xml"/><Relationship Id="rId41" Type="http://schemas.openxmlformats.org/officeDocument/2006/relationships/ctrlProp" Target="../ctrlProps/ctrlProp143.xml"/><Relationship Id="rId54" Type="http://schemas.openxmlformats.org/officeDocument/2006/relationships/ctrlProp" Target="../ctrlProps/ctrlProp156.xml"/><Relationship Id="rId1" Type="http://schemas.openxmlformats.org/officeDocument/2006/relationships/printerSettings" Target="../printerSettings/printerSettings14.bin"/><Relationship Id="rId6" Type="http://schemas.openxmlformats.org/officeDocument/2006/relationships/ctrlProp" Target="../ctrlProps/ctrlProp108.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49" Type="http://schemas.openxmlformats.org/officeDocument/2006/relationships/ctrlProp" Target="../ctrlProps/ctrlProp151.xml"/><Relationship Id="rId57" Type="http://schemas.openxmlformats.org/officeDocument/2006/relationships/ctrlProp" Target="../ctrlProps/ctrlProp159.xml"/><Relationship Id="rId10" Type="http://schemas.openxmlformats.org/officeDocument/2006/relationships/ctrlProp" Target="../ctrlProps/ctrlProp112.xml"/><Relationship Id="rId31" Type="http://schemas.openxmlformats.org/officeDocument/2006/relationships/ctrlProp" Target="../ctrlProps/ctrlProp133.xml"/><Relationship Id="rId44" Type="http://schemas.openxmlformats.org/officeDocument/2006/relationships/ctrlProp" Target="../ctrlProps/ctrlProp146.xml"/><Relationship Id="rId52" Type="http://schemas.openxmlformats.org/officeDocument/2006/relationships/ctrlProp" Target="../ctrlProps/ctrlProp154.xml"/><Relationship Id="rId60" Type="http://schemas.openxmlformats.org/officeDocument/2006/relationships/ctrlProp" Target="../ctrlProps/ctrlProp162.xml"/><Relationship Id="rId4" Type="http://schemas.openxmlformats.org/officeDocument/2006/relationships/ctrlProp" Target="../ctrlProps/ctrlProp106.xml"/><Relationship Id="rId9" Type="http://schemas.openxmlformats.org/officeDocument/2006/relationships/ctrlProp" Target="../ctrlProps/ctrlProp111.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9" Type="http://schemas.openxmlformats.org/officeDocument/2006/relationships/ctrlProp" Target="../ctrlProps/ctrlProp199.xml"/><Relationship Id="rId21" Type="http://schemas.openxmlformats.org/officeDocument/2006/relationships/ctrlProp" Target="../ctrlProps/ctrlProp181.xml"/><Relationship Id="rId34" Type="http://schemas.openxmlformats.org/officeDocument/2006/relationships/ctrlProp" Target="../ctrlProps/ctrlProp194.xml"/><Relationship Id="rId42" Type="http://schemas.openxmlformats.org/officeDocument/2006/relationships/ctrlProp" Target="../ctrlProps/ctrlProp202.xml"/><Relationship Id="rId47" Type="http://schemas.openxmlformats.org/officeDocument/2006/relationships/ctrlProp" Target="../ctrlProps/ctrlProp207.xml"/><Relationship Id="rId50" Type="http://schemas.openxmlformats.org/officeDocument/2006/relationships/ctrlProp" Target="../ctrlProps/ctrlProp210.xml"/><Relationship Id="rId55" Type="http://schemas.openxmlformats.org/officeDocument/2006/relationships/ctrlProp" Target="../ctrlProps/ctrlProp215.xml"/><Relationship Id="rId7" Type="http://schemas.openxmlformats.org/officeDocument/2006/relationships/ctrlProp" Target="../ctrlProps/ctrlProp167.xml"/><Relationship Id="rId2" Type="http://schemas.openxmlformats.org/officeDocument/2006/relationships/drawing" Target="../drawings/drawing14.xml"/><Relationship Id="rId16" Type="http://schemas.openxmlformats.org/officeDocument/2006/relationships/ctrlProp" Target="../ctrlProps/ctrlProp176.xml"/><Relationship Id="rId29" Type="http://schemas.openxmlformats.org/officeDocument/2006/relationships/ctrlProp" Target="../ctrlProps/ctrlProp189.xml"/><Relationship Id="rId11" Type="http://schemas.openxmlformats.org/officeDocument/2006/relationships/ctrlProp" Target="../ctrlProps/ctrlProp171.xml"/><Relationship Id="rId24" Type="http://schemas.openxmlformats.org/officeDocument/2006/relationships/ctrlProp" Target="../ctrlProps/ctrlProp184.xml"/><Relationship Id="rId32" Type="http://schemas.openxmlformats.org/officeDocument/2006/relationships/ctrlProp" Target="../ctrlProps/ctrlProp192.xml"/><Relationship Id="rId37" Type="http://schemas.openxmlformats.org/officeDocument/2006/relationships/ctrlProp" Target="../ctrlProps/ctrlProp197.xml"/><Relationship Id="rId40" Type="http://schemas.openxmlformats.org/officeDocument/2006/relationships/ctrlProp" Target="../ctrlProps/ctrlProp200.xml"/><Relationship Id="rId45" Type="http://schemas.openxmlformats.org/officeDocument/2006/relationships/ctrlProp" Target="../ctrlProps/ctrlProp205.xml"/><Relationship Id="rId53" Type="http://schemas.openxmlformats.org/officeDocument/2006/relationships/ctrlProp" Target="../ctrlProps/ctrlProp213.xml"/><Relationship Id="rId58" Type="http://schemas.openxmlformats.org/officeDocument/2006/relationships/ctrlProp" Target="../ctrlProps/ctrlProp218.xml"/><Relationship Id="rId5" Type="http://schemas.openxmlformats.org/officeDocument/2006/relationships/ctrlProp" Target="../ctrlProps/ctrlProp165.xml"/><Relationship Id="rId61" Type="http://schemas.openxmlformats.org/officeDocument/2006/relationships/ctrlProp" Target="../ctrlProps/ctrlProp221.xml"/><Relationship Id="rId19" Type="http://schemas.openxmlformats.org/officeDocument/2006/relationships/ctrlProp" Target="../ctrlProps/ctrlProp17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 Id="rId35" Type="http://schemas.openxmlformats.org/officeDocument/2006/relationships/ctrlProp" Target="../ctrlProps/ctrlProp195.xml"/><Relationship Id="rId43" Type="http://schemas.openxmlformats.org/officeDocument/2006/relationships/ctrlProp" Target="../ctrlProps/ctrlProp203.xml"/><Relationship Id="rId48" Type="http://schemas.openxmlformats.org/officeDocument/2006/relationships/ctrlProp" Target="../ctrlProps/ctrlProp208.xml"/><Relationship Id="rId56" Type="http://schemas.openxmlformats.org/officeDocument/2006/relationships/ctrlProp" Target="../ctrlProps/ctrlProp216.xml"/><Relationship Id="rId8" Type="http://schemas.openxmlformats.org/officeDocument/2006/relationships/ctrlProp" Target="../ctrlProps/ctrlProp168.xml"/><Relationship Id="rId51" Type="http://schemas.openxmlformats.org/officeDocument/2006/relationships/ctrlProp" Target="../ctrlProps/ctrlProp211.xml"/><Relationship Id="rId3" Type="http://schemas.openxmlformats.org/officeDocument/2006/relationships/vmlDrawing" Target="../drawings/vmlDrawing14.v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33" Type="http://schemas.openxmlformats.org/officeDocument/2006/relationships/ctrlProp" Target="../ctrlProps/ctrlProp193.xml"/><Relationship Id="rId38" Type="http://schemas.openxmlformats.org/officeDocument/2006/relationships/ctrlProp" Target="../ctrlProps/ctrlProp198.xml"/><Relationship Id="rId46" Type="http://schemas.openxmlformats.org/officeDocument/2006/relationships/ctrlProp" Target="../ctrlProps/ctrlProp206.xml"/><Relationship Id="rId59" Type="http://schemas.openxmlformats.org/officeDocument/2006/relationships/ctrlProp" Target="../ctrlProps/ctrlProp219.xml"/><Relationship Id="rId20" Type="http://schemas.openxmlformats.org/officeDocument/2006/relationships/ctrlProp" Target="../ctrlProps/ctrlProp180.xml"/><Relationship Id="rId41" Type="http://schemas.openxmlformats.org/officeDocument/2006/relationships/ctrlProp" Target="../ctrlProps/ctrlProp201.xml"/><Relationship Id="rId54" Type="http://schemas.openxmlformats.org/officeDocument/2006/relationships/ctrlProp" Target="../ctrlProps/ctrlProp214.xml"/><Relationship Id="rId1" Type="http://schemas.openxmlformats.org/officeDocument/2006/relationships/printerSettings" Target="../printerSettings/printerSettings15.bin"/><Relationship Id="rId6" Type="http://schemas.openxmlformats.org/officeDocument/2006/relationships/ctrlProp" Target="../ctrlProps/ctrlProp166.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36" Type="http://schemas.openxmlformats.org/officeDocument/2006/relationships/ctrlProp" Target="../ctrlProps/ctrlProp196.xml"/><Relationship Id="rId49" Type="http://schemas.openxmlformats.org/officeDocument/2006/relationships/ctrlProp" Target="../ctrlProps/ctrlProp209.xml"/><Relationship Id="rId57" Type="http://schemas.openxmlformats.org/officeDocument/2006/relationships/ctrlProp" Target="../ctrlProps/ctrlProp217.xml"/><Relationship Id="rId10" Type="http://schemas.openxmlformats.org/officeDocument/2006/relationships/ctrlProp" Target="../ctrlProps/ctrlProp170.xml"/><Relationship Id="rId31" Type="http://schemas.openxmlformats.org/officeDocument/2006/relationships/ctrlProp" Target="../ctrlProps/ctrlProp191.xml"/><Relationship Id="rId44" Type="http://schemas.openxmlformats.org/officeDocument/2006/relationships/ctrlProp" Target="../ctrlProps/ctrlProp204.xml"/><Relationship Id="rId52" Type="http://schemas.openxmlformats.org/officeDocument/2006/relationships/ctrlProp" Target="../ctrlProps/ctrlProp212.xml"/><Relationship Id="rId60" Type="http://schemas.openxmlformats.org/officeDocument/2006/relationships/ctrlProp" Target="../ctrlProps/ctrlProp220.xml"/><Relationship Id="rId4" Type="http://schemas.openxmlformats.org/officeDocument/2006/relationships/ctrlProp" Target="../ctrlProps/ctrlProp164.xml"/><Relationship Id="rId9" Type="http://schemas.openxmlformats.org/officeDocument/2006/relationships/ctrlProp" Target="../ctrlProps/ctrlProp169.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231.xml"/><Relationship Id="rId18" Type="http://schemas.openxmlformats.org/officeDocument/2006/relationships/ctrlProp" Target="../ctrlProps/ctrlProp236.xml"/><Relationship Id="rId26" Type="http://schemas.openxmlformats.org/officeDocument/2006/relationships/ctrlProp" Target="../ctrlProps/ctrlProp244.xml"/><Relationship Id="rId39" Type="http://schemas.openxmlformats.org/officeDocument/2006/relationships/ctrlProp" Target="../ctrlProps/ctrlProp257.xml"/><Relationship Id="rId21" Type="http://schemas.openxmlformats.org/officeDocument/2006/relationships/ctrlProp" Target="../ctrlProps/ctrlProp239.xml"/><Relationship Id="rId34" Type="http://schemas.openxmlformats.org/officeDocument/2006/relationships/ctrlProp" Target="../ctrlProps/ctrlProp252.xml"/><Relationship Id="rId42" Type="http://schemas.openxmlformats.org/officeDocument/2006/relationships/ctrlProp" Target="../ctrlProps/ctrlProp260.xml"/><Relationship Id="rId47" Type="http://schemas.openxmlformats.org/officeDocument/2006/relationships/ctrlProp" Target="../ctrlProps/ctrlProp265.xml"/><Relationship Id="rId50" Type="http://schemas.openxmlformats.org/officeDocument/2006/relationships/ctrlProp" Target="../ctrlProps/ctrlProp268.xml"/><Relationship Id="rId55" Type="http://schemas.openxmlformats.org/officeDocument/2006/relationships/ctrlProp" Target="../ctrlProps/ctrlProp273.xml"/><Relationship Id="rId7" Type="http://schemas.openxmlformats.org/officeDocument/2006/relationships/ctrlProp" Target="../ctrlProps/ctrlProp225.xml"/><Relationship Id="rId2" Type="http://schemas.openxmlformats.org/officeDocument/2006/relationships/drawing" Target="../drawings/drawing15.xml"/><Relationship Id="rId16" Type="http://schemas.openxmlformats.org/officeDocument/2006/relationships/ctrlProp" Target="../ctrlProps/ctrlProp234.xml"/><Relationship Id="rId29" Type="http://schemas.openxmlformats.org/officeDocument/2006/relationships/ctrlProp" Target="../ctrlProps/ctrlProp247.xml"/><Relationship Id="rId11" Type="http://schemas.openxmlformats.org/officeDocument/2006/relationships/ctrlProp" Target="../ctrlProps/ctrlProp229.xml"/><Relationship Id="rId24" Type="http://schemas.openxmlformats.org/officeDocument/2006/relationships/ctrlProp" Target="../ctrlProps/ctrlProp242.xml"/><Relationship Id="rId32" Type="http://schemas.openxmlformats.org/officeDocument/2006/relationships/ctrlProp" Target="../ctrlProps/ctrlProp250.xml"/><Relationship Id="rId37" Type="http://schemas.openxmlformats.org/officeDocument/2006/relationships/ctrlProp" Target="../ctrlProps/ctrlProp255.xml"/><Relationship Id="rId40" Type="http://schemas.openxmlformats.org/officeDocument/2006/relationships/ctrlProp" Target="../ctrlProps/ctrlProp258.xml"/><Relationship Id="rId45" Type="http://schemas.openxmlformats.org/officeDocument/2006/relationships/ctrlProp" Target="../ctrlProps/ctrlProp263.xml"/><Relationship Id="rId53" Type="http://schemas.openxmlformats.org/officeDocument/2006/relationships/ctrlProp" Target="../ctrlProps/ctrlProp271.xml"/><Relationship Id="rId58" Type="http://schemas.openxmlformats.org/officeDocument/2006/relationships/ctrlProp" Target="../ctrlProps/ctrlProp276.xml"/><Relationship Id="rId5" Type="http://schemas.openxmlformats.org/officeDocument/2006/relationships/ctrlProp" Target="../ctrlProps/ctrlProp223.xml"/><Relationship Id="rId61" Type="http://schemas.openxmlformats.org/officeDocument/2006/relationships/ctrlProp" Target="../ctrlProps/ctrlProp279.xml"/><Relationship Id="rId19" Type="http://schemas.openxmlformats.org/officeDocument/2006/relationships/ctrlProp" Target="../ctrlProps/ctrlProp237.xml"/><Relationship Id="rId14" Type="http://schemas.openxmlformats.org/officeDocument/2006/relationships/ctrlProp" Target="../ctrlProps/ctrlProp232.xml"/><Relationship Id="rId22" Type="http://schemas.openxmlformats.org/officeDocument/2006/relationships/ctrlProp" Target="../ctrlProps/ctrlProp240.xml"/><Relationship Id="rId27" Type="http://schemas.openxmlformats.org/officeDocument/2006/relationships/ctrlProp" Target="../ctrlProps/ctrlProp245.xml"/><Relationship Id="rId30" Type="http://schemas.openxmlformats.org/officeDocument/2006/relationships/ctrlProp" Target="../ctrlProps/ctrlProp248.xml"/><Relationship Id="rId35" Type="http://schemas.openxmlformats.org/officeDocument/2006/relationships/ctrlProp" Target="../ctrlProps/ctrlProp253.xml"/><Relationship Id="rId43" Type="http://schemas.openxmlformats.org/officeDocument/2006/relationships/ctrlProp" Target="../ctrlProps/ctrlProp261.xml"/><Relationship Id="rId48" Type="http://schemas.openxmlformats.org/officeDocument/2006/relationships/ctrlProp" Target="../ctrlProps/ctrlProp266.xml"/><Relationship Id="rId56" Type="http://schemas.openxmlformats.org/officeDocument/2006/relationships/ctrlProp" Target="../ctrlProps/ctrlProp274.xml"/><Relationship Id="rId8" Type="http://schemas.openxmlformats.org/officeDocument/2006/relationships/ctrlProp" Target="../ctrlProps/ctrlProp226.xml"/><Relationship Id="rId51" Type="http://schemas.openxmlformats.org/officeDocument/2006/relationships/ctrlProp" Target="../ctrlProps/ctrlProp269.xml"/><Relationship Id="rId3" Type="http://schemas.openxmlformats.org/officeDocument/2006/relationships/vmlDrawing" Target="../drawings/vmlDrawing15.vml"/><Relationship Id="rId12" Type="http://schemas.openxmlformats.org/officeDocument/2006/relationships/ctrlProp" Target="../ctrlProps/ctrlProp230.xml"/><Relationship Id="rId17" Type="http://schemas.openxmlformats.org/officeDocument/2006/relationships/ctrlProp" Target="../ctrlProps/ctrlProp235.xml"/><Relationship Id="rId25" Type="http://schemas.openxmlformats.org/officeDocument/2006/relationships/ctrlProp" Target="../ctrlProps/ctrlProp243.xml"/><Relationship Id="rId33" Type="http://schemas.openxmlformats.org/officeDocument/2006/relationships/ctrlProp" Target="../ctrlProps/ctrlProp251.xml"/><Relationship Id="rId38" Type="http://schemas.openxmlformats.org/officeDocument/2006/relationships/ctrlProp" Target="../ctrlProps/ctrlProp256.xml"/><Relationship Id="rId46" Type="http://schemas.openxmlformats.org/officeDocument/2006/relationships/ctrlProp" Target="../ctrlProps/ctrlProp264.xml"/><Relationship Id="rId59" Type="http://schemas.openxmlformats.org/officeDocument/2006/relationships/ctrlProp" Target="../ctrlProps/ctrlProp277.xml"/><Relationship Id="rId20" Type="http://schemas.openxmlformats.org/officeDocument/2006/relationships/ctrlProp" Target="../ctrlProps/ctrlProp238.xml"/><Relationship Id="rId41" Type="http://schemas.openxmlformats.org/officeDocument/2006/relationships/ctrlProp" Target="../ctrlProps/ctrlProp259.xml"/><Relationship Id="rId54" Type="http://schemas.openxmlformats.org/officeDocument/2006/relationships/ctrlProp" Target="../ctrlProps/ctrlProp272.xml"/><Relationship Id="rId1" Type="http://schemas.openxmlformats.org/officeDocument/2006/relationships/printerSettings" Target="../printerSettings/printerSettings16.bin"/><Relationship Id="rId6" Type="http://schemas.openxmlformats.org/officeDocument/2006/relationships/ctrlProp" Target="../ctrlProps/ctrlProp224.xml"/><Relationship Id="rId15" Type="http://schemas.openxmlformats.org/officeDocument/2006/relationships/ctrlProp" Target="../ctrlProps/ctrlProp233.xml"/><Relationship Id="rId23" Type="http://schemas.openxmlformats.org/officeDocument/2006/relationships/ctrlProp" Target="../ctrlProps/ctrlProp241.xml"/><Relationship Id="rId28" Type="http://schemas.openxmlformats.org/officeDocument/2006/relationships/ctrlProp" Target="../ctrlProps/ctrlProp246.xml"/><Relationship Id="rId36" Type="http://schemas.openxmlformats.org/officeDocument/2006/relationships/ctrlProp" Target="../ctrlProps/ctrlProp254.xml"/><Relationship Id="rId49" Type="http://schemas.openxmlformats.org/officeDocument/2006/relationships/ctrlProp" Target="../ctrlProps/ctrlProp267.xml"/><Relationship Id="rId57" Type="http://schemas.openxmlformats.org/officeDocument/2006/relationships/ctrlProp" Target="../ctrlProps/ctrlProp275.xml"/><Relationship Id="rId10" Type="http://schemas.openxmlformats.org/officeDocument/2006/relationships/ctrlProp" Target="../ctrlProps/ctrlProp228.xml"/><Relationship Id="rId31" Type="http://schemas.openxmlformats.org/officeDocument/2006/relationships/ctrlProp" Target="../ctrlProps/ctrlProp249.xml"/><Relationship Id="rId44" Type="http://schemas.openxmlformats.org/officeDocument/2006/relationships/ctrlProp" Target="../ctrlProps/ctrlProp262.xml"/><Relationship Id="rId52" Type="http://schemas.openxmlformats.org/officeDocument/2006/relationships/ctrlProp" Target="../ctrlProps/ctrlProp270.xml"/><Relationship Id="rId60" Type="http://schemas.openxmlformats.org/officeDocument/2006/relationships/ctrlProp" Target="../ctrlProps/ctrlProp278.xml"/><Relationship Id="rId4" Type="http://schemas.openxmlformats.org/officeDocument/2006/relationships/ctrlProp" Target="../ctrlProps/ctrlProp222.xml"/><Relationship Id="rId9" Type="http://schemas.openxmlformats.org/officeDocument/2006/relationships/ctrlProp" Target="../ctrlProps/ctrlProp227.xml"/></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289.xml"/><Relationship Id="rId18" Type="http://schemas.openxmlformats.org/officeDocument/2006/relationships/ctrlProp" Target="../ctrlProps/ctrlProp294.xml"/><Relationship Id="rId26" Type="http://schemas.openxmlformats.org/officeDocument/2006/relationships/ctrlProp" Target="../ctrlProps/ctrlProp302.xml"/><Relationship Id="rId39" Type="http://schemas.openxmlformats.org/officeDocument/2006/relationships/ctrlProp" Target="../ctrlProps/ctrlProp315.xml"/><Relationship Id="rId21" Type="http://schemas.openxmlformats.org/officeDocument/2006/relationships/ctrlProp" Target="../ctrlProps/ctrlProp297.xml"/><Relationship Id="rId34" Type="http://schemas.openxmlformats.org/officeDocument/2006/relationships/ctrlProp" Target="../ctrlProps/ctrlProp310.xml"/><Relationship Id="rId42" Type="http://schemas.openxmlformats.org/officeDocument/2006/relationships/ctrlProp" Target="../ctrlProps/ctrlProp318.xml"/><Relationship Id="rId47" Type="http://schemas.openxmlformats.org/officeDocument/2006/relationships/ctrlProp" Target="../ctrlProps/ctrlProp323.xml"/><Relationship Id="rId50" Type="http://schemas.openxmlformats.org/officeDocument/2006/relationships/ctrlProp" Target="../ctrlProps/ctrlProp326.xml"/><Relationship Id="rId55" Type="http://schemas.openxmlformats.org/officeDocument/2006/relationships/ctrlProp" Target="../ctrlProps/ctrlProp331.xml"/><Relationship Id="rId7" Type="http://schemas.openxmlformats.org/officeDocument/2006/relationships/ctrlProp" Target="../ctrlProps/ctrlProp283.xml"/><Relationship Id="rId2" Type="http://schemas.openxmlformats.org/officeDocument/2006/relationships/drawing" Target="../drawings/drawing16.xml"/><Relationship Id="rId16" Type="http://schemas.openxmlformats.org/officeDocument/2006/relationships/ctrlProp" Target="../ctrlProps/ctrlProp292.xml"/><Relationship Id="rId29" Type="http://schemas.openxmlformats.org/officeDocument/2006/relationships/ctrlProp" Target="../ctrlProps/ctrlProp305.xml"/><Relationship Id="rId11" Type="http://schemas.openxmlformats.org/officeDocument/2006/relationships/ctrlProp" Target="../ctrlProps/ctrlProp287.xml"/><Relationship Id="rId24" Type="http://schemas.openxmlformats.org/officeDocument/2006/relationships/ctrlProp" Target="../ctrlProps/ctrlProp300.xml"/><Relationship Id="rId32" Type="http://schemas.openxmlformats.org/officeDocument/2006/relationships/ctrlProp" Target="../ctrlProps/ctrlProp308.xml"/><Relationship Id="rId37" Type="http://schemas.openxmlformats.org/officeDocument/2006/relationships/ctrlProp" Target="../ctrlProps/ctrlProp313.xml"/><Relationship Id="rId40" Type="http://schemas.openxmlformats.org/officeDocument/2006/relationships/ctrlProp" Target="../ctrlProps/ctrlProp316.xml"/><Relationship Id="rId45" Type="http://schemas.openxmlformats.org/officeDocument/2006/relationships/ctrlProp" Target="../ctrlProps/ctrlProp321.xml"/><Relationship Id="rId53" Type="http://schemas.openxmlformats.org/officeDocument/2006/relationships/ctrlProp" Target="../ctrlProps/ctrlProp329.xml"/><Relationship Id="rId58" Type="http://schemas.openxmlformats.org/officeDocument/2006/relationships/ctrlProp" Target="../ctrlProps/ctrlProp334.xml"/><Relationship Id="rId5" Type="http://schemas.openxmlformats.org/officeDocument/2006/relationships/ctrlProp" Target="../ctrlProps/ctrlProp281.xml"/><Relationship Id="rId61" Type="http://schemas.openxmlformats.org/officeDocument/2006/relationships/ctrlProp" Target="../ctrlProps/ctrlProp337.xml"/><Relationship Id="rId19" Type="http://schemas.openxmlformats.org/officeDocument/2006/relationships/ctrlProp" Target="../ctrlProps/ctrlProp295.xml"/><Relationship Id="rId14" Type="http://schemas.openxmlformats.org/officeDocument/2006/relationships/ctrlProp" Target="../ctrlProps/ctrlProp290.xml"/><Relationship Id="rId22" Type="http://schemas.openxmlformats.org/officeDocument/2006/relationships/ctrlProp" Target="../ctrlProps/ctrlProp298.xml"/><Relationship Id="rId27" Type="http://schemas.openxmlformats.org/officeDocument/2006/relationships/ctrlProp" Target="../ctrlProps/ctrlProp303.xml"/><Relationship Id="rId30" Type="http://schemas.openxmlformats.org/officeDocument/2006/relationships/ctrlProp" Target="../ctrlProps/ctrlProp306.xml"/><Relationship Id="rId35" Type="http://schemas.openxmlformats.org/officeDocument/2006/relationships/ctrlProp" Target="../ctrlProps/ctrlProp311.xml"/><Relationship Id="rId43" Type="http://schemas.openxmlformats.org/officeDocument/2006/relationships/ctrlProp" Target="../ctrlProps/ctrlProp319.xml"/><Relationship Id="rId48" Type="http://schemas.openxmlformats.org/officeDocument/2006/relationships/ctrlProp" Target="../ctrlProps/ctrlProp324.xml"/><Relationship Id="rId56" Type="http://schemas.openxmlformats.org/officeDocument/2006/relationships/ctrlProp" Target="../ctrlProps/ctrlProp332.xml"/><Relationship Id="rId8" Type="http://schemas.openxmlformats.org/officeDocument/2006/relationships/ctrlProp" Target="../ctrlProps/ctrlProp284.xml"/><Relationship Id="rId51" Type="http://schemas.openxmlformats.org/officeDocument/2006/relationships/ctrlProp" Target="../ctrlProps/ctrlProp327.xml"/><Relationship Id="rId3" Type="http://schemas.openxmlformats.org/officeDocument/2006/relationships/vmlDrawing" Target="../drawings/vmlDrawing16.vml"/><Relationship Id="rId12" Type="http://schemas.openxmlformats.org/officeDocument/2006/relationships/ctrlProp" Target="../ctrlProps/ctrlProp288.xml"/><Relationship Id="rId17" Type="http://schemas.openxmlformats.org/officeDocument/2006/relationships/ctrlProp" Target="../ctrlProps/ctrlProp293.xml"/><Relationship Id="rId25" Type="http://schemas.openxmlformats.org/officeDocument/2006/relationships/ctrlProp" Target="../ctrlProps/ctrlProp301.xml"/><Relationship Id="rId33" Type="http://schemas.openxmlformats.org/officeDocument/2006/relationships/ctrlProp" Target="../ctrlProps/ctrlProp309.xml"/><Relationship Id="rId38" Type="http://schemas.openxmlformats.org/officeDocument/2006/relationships/ctrlProp" Target="../ctrlProps/ctrlProp314.xml"/><Relationship Id="rId46" Type="http://schemas.openxmlformats.org/officeDocument/2006/relationships/ctrlProp" Target="../ctrlProps/ctrlProp322.xml"/><Relationship Id="rId59" Type="http://schemas.openxmlformats.org/officeDocument/2006/relationships/ctrlProp" Target="../ctrlProps/ctrlProp335.xml"/><Relationship Id="rId20" Type="http://schemas.openxmlformats.org/officeDocument/2006/relationships/ctrlProp" Target="../ctrlProps/ctrlProp296.xml"/><Relationship Id="rId41" Type="http://schemas.openxmlformats.org/officeDocument/2006/relationships/ctrlProp" Target="../ctrlProps/ctrlProp317.xml"/><Relationship Id="rId54" Type="http://schemas.openxmlformats.org/officeDocument/2006/relationships/ctrlProp" Target="../ctrlProps/ctrlProp330.xml"/><Relationship Id="rId1" Type="http://schemas.openxmlformats.org/officeDocument/2006/relationships/printerSettings" Target="../printerSettings/printerSettings17.bin"/><Relationship Id="rId6" Type="http://schemas.openxmlformats.org/officeDocument/2006/relationships/ctrlProp" Target="../ctrlProps/ctrlProp282.xml"/><Relationship Id="rId15" Type="http://schemas.openxmlformats.org/officeDocument/2006/relationships/ctrlProp" Target="../ctrlProps/ctrlProp291.xml"/><Relationship Id="rId23" Type="http://schemas.openxmlformats.org/officeDocument/2006/relationships/ctrlProp" Target="../ctrlProps/ctrlProp299.xml"/><Relationship Id="rId28" Type="http://schemas.openxmlformats.org/officeDocument/2006/relationships/ctrlProp" Target="../ctrlProps/ctrlProp304.xml"/><Relationship Id="rId36" Type="http://schemas.openxmlformats.org/officeDocument/2006/relationships/ctrlProp" Target="../ctrlProps/ctrlProp312.xml"/><Relationship Id="rId49" Type="http://schemas.openxmlformats.org/officeDocument/2006/relationships/ctrlProp" Target="../ctrlProps/ctrlProp325.xml"/><Relationship Id="rId57" Type="http://schemas.openxmlformats.org/officeDocument/2006/relationships/ctrlProp" Target="../ctrlProps/ctrlProp333.xml"/><Relationship Id="rId10" Type="http://schemas.openxmlformats.org/officeDocument/2006/relationships/ctrlProp" Target="../ctrlProps/ctrlProp286.xml"/><Relationship Id="rId31" Type="http://schemas.openxmlformats.org/officeDocument/2006/relationships/ctrlProp" Target="../ctrlProps/ctrlProp307.xml"/><Relationship Id="rId44" Type="http://schemas.openxmlformats.org/officeDocument/2006/relationships/ctrlProp" Target="../ctrlProps/ctrlProp320.xml"/><Relationship Id="rId52" Type="http://schemas.openxmlformats.org/officeDocument/2006/relationships/ctrlProp" Target="../ctrlProps/ctrlProp328.xml"/><Relationship Id="rId60" Type="http://schemas.openxmlformats.org/officeDocument/2006/relationships/ctrlProp" Target="../ctrlProps/ctrlProp336.xml"/><Relationship Id="rId4" Type="http://schemas.openxmlformats.org/officeDocument/2006/relationships/ctrlProp" Target="../ctrlProps/ctrlProp280.xml"/><Relationship Id="rId9" Type="http://schemas.openxmlformats.org/officeDocument/2006/relationships/ctrlProp" Target="../ctrlProps/ctrlProp28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5" Type="http://schemas.openxmlformats.org/officeDocument/2006/relationships/ctrlProp" Target="../ctrlProps/ctrlProp339.xml"/><Relationship Id="rId4" Type="http://schemas.openxmlformats.org/officeDocument/2006/relationships/ctrlProp" Target="../ctrlProps/ctrlProp33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6" Type="http://schemas.openxmlformats.org/officeDocument/2006/relationships/ctrlProp" Target="../ctrlProps/ctrlProp342.xml"/><Relationship Id="rId5" Type="http://schemas.openxmlformats.org/officeDocument/2006/relationships/ctrlProp" Target="../ctrlProps/ctrlProp341.xml"/><Relationship Id="rId4" Type="http://schemas.openxmlformats.org/officeDocument/2006/relationships/ctrlProp" Target="../ctrlProps/ctrlProp3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47.xml"/><Relationship Id="rId3" Type="http://schemas.openxmlformats.org/officeDocument/2006/relationships/vmlDrawing" Target="../drawings/vmlDrawing19.vml"/><Relationship Id="rId7" Type="http://schemas.openxmlformats.org/officeDocument/2006/relationships/ctrlProp" Target="../ctrlProps/ctrlProp346.xml"/><Relationship Id="rId2" Type="http://schemas.openxmlformats.org/officeDocument/2006/relationships/drawing" Target="../drawings/drawing19.xml"/><Relationship Id="rId1" Type="http://schemas.openxmlformats.org/officeDocument/2006/relationships/printerSettings" Target="../printerSettings/printerSettings20.bin"/><Relationship Id="rId6" Type="http://schemas.openxmlformats.org/officeDocument/2006/relationships/ctrlProp" Target="../ctrlProps/ctrlProp345.xml"/><Relationship Id="rId5" Type="http://schemas.openxmlformats.org/officeDocument/2006/relationships/ctrlProp" Target="../ctrlProps/ctrlProp344.xml"/><Relationship Id="rId4" Type="http://schemas.openxmlformats.org/officeDocument/2006/relationships/ctrlProp" Target="../ctrlProps/ctrlProp343.xml"/><Relationship Id="rId9" Type="http://schemas.openxmlformats.org/officeDocument/2006/relationships/ctrlProp" Target="../ctrlProps/ctrlProp348.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53.xml"/><Relationship Id="rId3" Type="http://schemas.openxmlformats.org/officeDocument/2006/relationships/vmlDrawing" Target="../drawings/vmlDrawing20.vml"/><Relationship Id="rId7" Type="http://schemas.openxmlformats.org/officeDocument/2006/relationships/ctrlProp" Target="../ctrlProps/ctrlProp352.xml"/><Relationship Id="rId2" Type="http://schemas.openxmlformats.org/officeDocument/2006/relationships/drawing" Target="../drawings/drawing20.xml"/><Relationship Id="rId1" Type="http://schemas.openxmlformats.org/officeDocument/2006/relationships/printerSettings" Target="../printerSettings/printerSettings21.bin"/><Relationship Id="rId6" Type="http://schemas.openxmlformats.org/officeDocument/2006/relationships/ctrlProp" Target="../ctrlProps/ctrlProp351.xml"/><Relationship Id="rId5" Type="http://schemas.openxmlformats.org/officeDocument/2006/relationships/ctrlProp" Target="../ctrlProps/ctrlProp350.xml"/><Relationship Id="rId4" Type="http://schemas.openxmlformats.org/officeDocument/2006/relationships/ctrlProp" Target="../ctrlProps/ctrlProp349.xml"/><Relationship Id="rId9" Type="http://schemas.openxmlformats.org/officeDocument/2006/relationships/ctrlProp" Target="../ctrlProps/ctrlProp354.xml"/></Relationships>
</file>

<file path=xl/worksheets/_rels/sheet22.xml.rels><?xml version="1.0" encoding="UTF-8" standalone="yes"?>
<Relationships xmlns="http://schemas.openxmlformats.org/package/2006/relationships"><Relationship Id="rId13" Type="http://schemas.openxmlformats.org/officeDocument/2006/relationships/ctrlProp" Target="../ctrlProps/ctrlProp364.xml"/><Relationship Id="rId18" Type="http://schemas.openxmlformats.org/officeDocument/2006/relationships/ctrlProp" Target="../ctrlProps/ctrlProp369.xml"/><Relationship Id="rId26" Type="http://schemas.openxmlformats.org/officeDocument/2006/relationships/ctrlProp" Target="../ctrlProps/ctrlProp377.xml"/><Relationship Id="rId39" Type="http://schemas.openxmlformats.org/officeDocument/2006/relationships/ctrlProp" Target="../ctrlProps/ctrlProp390.xml"/><Relationship Id="rId21" Type="http://schemas.openxmlformats.org/officeDocument/2006/relationships/ctrlProp" Target="../ctrlProps/ctrlProp372.xml"/><Relationship Id="rId34" Type="http://schemas.openxmlformats.org/officeDocument/2006/relationships/ctrlProp" Target="../ctrlProps/ctrlProp385.xml"/><Relationship Id="rId42" Type="http://schemas.openxmlformats.org/officeDocument/2006/relationships/ctrlProp" Target="../ctrlProps/ctrlProp393.xml"/><Relationship Id="rId47" Type="http://schemas.openxmlformats.org/officeDocument/2006/relationships/ctrlProp" Target="../ctrlProps/ctrlProp398.xml"/><Relationship Id="rId50" Type="http://schemas.openxmlformats.org/officeDocument/2006/relationships/ctrlProp" Target="../ctrlProps/ctrlProp401.xml"/><Relationship Id="rId55" Type="http://schemas.openxmlformats.org/officeDocument/2006/relationships/ctrlProp" Target="../ctrlProps/ctrlProp406.xml"/><Relationship Id="rId7" Type="http://schemas.openxmlformats.org/officeDocument/2006/relationships/ctrlProp" Target="../ctrlProps/ctrlProp358.xml"/><Relationship Id="rId2" Type="http://schemas.openxmlformats.org/officeDocument/2006/relationships/drawing" Target="../drawings/drawing21.xml"/><Relationship Id="rId16" Type="http://schemas.openxmlformats.org/officeDocument/2006/relationships/ctrlProp" Target="../ctrlProps/ctrlProp367.xml"/><Relationship Id="rId29" Type="http://schemas.openxmlformats.org/officeDocument/2006/relationships/ctrlProp" Target="../ctrlProps/ctrlProp380.xml"/><Relationship Id="rId11" Type="http://schemas.openxmlformats.org/officeDocument/2006/relationships/ctrlProp" Target="../ctrlProps/ctrlProp362.xml"/><Relationship Id="rId24" Type="http://schemas.openxmlformats.org/officeDocument/2006/relationships/ctrlProp" Target="../ctrlProps/ctrlProp375.xml"/><Relationship Id="rId32" Type="http://schemas.openxmlformats.org/officeDocument/2006/relationships/ctrlProp" Target="../ctrlProps/ctrlProp383.xml"/><Relationship Id="rId37" Type="http://schemas.openxmlformats.org/officeDocument/2006/relationships/ctrlProp" Target="../ctrlProps/ctrlProp388.xml"/><Relationship Id="rId40" Type="http://schemas.openxmlformats.org/officeDocument/2006/relationships/ctrlProp" Target="../ctrlProps/ctrlProp391.xml"/><Relationship Id="rId45" Type="http://schemas.openxmlformats.org/officeDocument/2006/relationships/ctrlProp" Target="../ctrlProps/ctrlProp396.xml"/><Relationship Id="rId53" Type="http://schemas.openxmlformats.org/officeDocument/2006/relationships/ctrlProp" Target="../ctrlProps/ctrlProp404.xml"/><Relationship Id="rId58" Type="http://schemas.openxmlformats.org/officeDocument/2006/relationships/ctrlProp" Target="../ctrlProps/ctrlProp409.xml"/><Relationship Id="rId5" Type="http://schemas.openxmlformats.org/officeDocument/2006/relationships/ctrlProp" Target="../ctrlProps/ctrlProp356.xml"/><Relationship Id="rId61" Type="http://schemas.openxmlformats.org/officeDocument/2006/relationships/ctrlProp" Target="../ctrlProps/ctrlProp412.xml"/><Relationship Id="rId19" Type="http://schemas.openxmlformats.org/officeDocument/2006/relationships/ctrlProp" Target="../ctrlProps/ctrlProp370.xml"/><Relationship Id="rId14" Type="http://schemas.openxmlformats.org/officeDocument/2006/relationships/ctrlProp" Target="../ctrlProps/ctrlProp365.xml"/><Relationship Id="rId22" Type="http://schemas.openxmlformats.org/officeDocument/2006/relationships/ctrlProp" Target="../ctrlProps/ctrlProp373.xml"/><Relationship Id="rId27" Type="http://schemas.openxmlformats.org/officeDocument/2006/relationships/ctrlProp" Target="../ctrlProps/ctrlProp378.xml"/><Relationship Id="rId30" Type="http://schemas.openxmlformats.org/officeDocument/2006/relationships/ctrlProp" Target="../ctrlProps/ctrlProp381.xml"/><Relationship Id="rId35" Type="http://schemas.openxmlformats.org/officeDocument/2006/relationships/ctrlProp" Target="../ctrlProps/ctrlProp386.xml"/><Relationship Id="rId43" Type="http://schemas.openxmlformats.org/officeDocument/2006/relationships/ctrlProp" Target="../ctrlProps/ctrlProp394.xml"/><Relationship Id="rId48" Type="http://schemas.openxmlformats.org/officeDocument/2006/relationships/ctrlProp" Target="../ctrlProps/ctrlProp399.xml"/><Relationship Id="rId56" Type="http://schemas.openxmlformats.org/officeDocument/2006/relationships/ctrlProp" Target="../ctrlProps/ctrlProp407.xml"/><Relationship Id="rId8" Type="http://schemas.openxmlformats.org/officeDocument/2006/relationships/ctrlProp" Target="../ctrlProps/ctrlProp359.xml"/><Relationship Id="rId51" Type="http://schemas.openxmlformats.org/officeDocument/2006/relationships/ctrlProp" Target="../ctrlProps/ctrlProp402.xml"/><Relationship Id="rId3" Type="http://schemas.openxmlformats.org/officeDocument/2006/relationships/vmlDrawing" Target="../drawings/vmlDrawing21.vml"/><Relationship Id="rId12" Type="http://schemas.openxmlformats.org/officeDocument/2006/relationships/ctrlProp" Target="../ctrlProps/ctrlProp363.xml"/><Relationship Id="rId17" Type="http://schemas.openxmlformats.org/officeDocument/2006/relationships/ctrlProp" Target="../ctrlProps/ctrlProp368.xml"/><Relationship Id="rId25" Type="http://schemas.openxmlformats.org/officeDocument/2006/relationships/ctrlProp" Target="../ctrlProps/ctrlProp376.xml"/><Relationship Id="rId33" Type="http://schemas.openxmlformats.org/officeDocument/2006/relationships/ctrlProp" Target="../ctrlProps/ctrlProp384.xml"/><Relationship Id="rId38" Type="http://schemas.openxmlformats.org/officeDocument/2006/relationships/ctrlProp" Target="../ctrlProps/ctrlProp389.xml"/><Relationship Id="rId46" Type="http://schemas.openxmlformats.org/officeDocument/2006/relationships/ctrlProp" Target="../ctrlProps/ctrlProp397.xml"/><Relationship Id="rId59" Type="http://schemas.openxmlformats.org/officeDocument/2006/relationships/ctrlProp" Target="../ctrlProps/ctrlProp410.xml"/><Relationship Id="rId20" Type="http://schemas.openxmlformats.org/officeDocument/2006/relationships/ctrlProp" Target="../ctrlProps/ctrlProp371.xml"/><Relationship Id="rId41" Type="http://schemas.openxmlformats.org/officeDocument/2006/relationships/ctrlProp" Target="../ctrlProps/ctrlProp392.xml"/><Relationship Id="rId54" Type="http://schemas.openxmlformats.org/officeDocument/2006/relationships/ctrlProp" Target="../ctrlProps/ctrlProp405.xml"/><Relationship Id="rId1" Type="http://schemas.openxmlformats.org/officeDocument/2006/relationships/printerSettings" Target="../printerSettings/printerSettings22.bin"/><Relationship Id="rId6" Type="http://schemas.openxmlformats.org/officeDocument/2006/relationships/ctrlProp" Target="../ctrlProps/ctrlProp357.xml"/><Relationship Id="rId15" Type="http://schemas.openxmlformats.org/officeDocument/2006/relationships/ctrlProp" Target="../ctrlProps/ctrlProp366.xml"/><Relationship Id="rId23" Type="http://schemas.openxmlformats.org/officeDocument/2006/relationships/ctrlProp" Target="../ctrlProps/ctrlProp374.xml"/><Relationship Id="rId28" Type="http://schemas.openxmlformats.org/officeDocument/2006/relationships/ctrlProp" Target="../ctrlProps/ctrlProp379.xml"/><Relationship Id="rId36" Type="http://schemas.openxmlformats.org/officeDocument/2006/relationships/ctrlProp" Target="../ctrlProps/ctrlProp387.xml"/><Relationship Id="rId49" Type="http://schemas.openxmlformats.org/officeDocument/2006/relationships/ctrlProp" Target="../ctrlProps/ctrlProp400.xml"/><Relationship Id="rId57" Type="http://schemas.openxmlformats.org/officeDocument/2006/relationships/ctrlProp" Target="../ctrlProps/ctrlProp408.xml"/><Relationship Id="rId10" Type="http://schemas.openxmlformats.org/officeDocument/2006/relationships/ctrlProp" Target="../ctrlProps/ctrlProp361.xml"/><Relationship Id="rId31" Type="http://schemas.openxmlformats.org/officeDocument/2006/relationships/ctrlProp" Target="../ctrlProps/ctrlProp382.xml"/><Relationship Id="rId44" Type="http://schemas.openxmlformats.org/officeDocument/2006/relationships/ctrlProp" Target="../ctrlProps/ctrlProp395.xml"/><Relationship Id="rId52" Type="http://schemas.openxmlformats.org/officeDocument/2006/relationships/ctrlProp" Target="../ctrlProps/ctrlProp403.xml"/><Relationship Id="rId60" Type="http://schemas.openxmlformats.org/officeDocument/2006/relationships/ctrlProp" Target="../ctrlProps/ctrlProp411.xml"/><Relationship Id="rId4" Type="http://schemas.openxmlformats.org/officeDocument/2006/relationships/ctrlProp" Target="../ctrlProps/ctrlProp355.xml"/><Relationship Id="rId9" Type="http://schemas.openxmlformats.org/officeDocument/2006/relationships/ctrlProp" Target="../ctrlProps/ctrlProp360.xml"/></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422.xml"/><Relationship Id="rId18" Type="http://schemas.openxmlformats.org/officeDocument/2006/relationships/ctrlProp" Target="../ctrlProps/ctrlProp427.xml"/><Relationship Id="rId26" Type="http://schemas.openxmlformats.org/officeDocument/2006/relationships/ctrlProp" Target="../ctrlProps/ctrlProp435.xml"/><Relationship Id="rId39" Type="http://schemas.openxmlformats.org/officeDocument/2006/relationships/ctrlProp" Target="../ctrlProps/ctrlProp448.xml"/><Relationship Id="rId21" Type="http://schemas.openxmlformats.org/officeDocument/2006/relationships/ctrlProp" Target="../ctrlProps/ctrlProp430.xml"/><Relationship Id="rId34" Type="http://schemas.openxmlformats.org/officeDocument/2006/relationships/ctrlProp" Target="../ctrlProps/ctrlProp443.xml"/><Relationship Id="rId42" Type="http://schemas.openxmlformats.org/officeDocument/2006/relationships/ctrlProp" Target="../ctrlProps/ctrlProp451.xml"/><Relationship Id="rId47" Type="http://schemas.openxmlformats.org/officeDocument/2006/relationships/ctrlProp" Target="../ctrlProps/ctrlProp456.xml"/><Relationship Id="rId50" Type="http://schemas.openxmlformats.org/officeDocument/2006/relationships/ctrlProp" Target="../ctrlProps/ctrlProp459.xml"/><Relationship Id="rId55" Type="http://schemas.openxmlformats.org/officeDocument/2006/relationships/ctrlProp" Target="../ctrlProps/ctrlProp464.xml"/><Relationship Id="rId7" Type="http://schemas.openxmlformats.org/officeDocument/2006/relationships/ctrlProp" Target="../ctrlProps/ctrlProp416.xml"/><Relationship Id="rId2" Type="http://schemas.openxmlformats.org/officeDocument/2006/relationships/drawing" Target="../drawings/drawing22.xml"/><Relationship Id="rId16" Type="http://schemas.openxmlformats.org/officeDocument/2006/relationships/ctrlProp" Target="../ctrlProps/ctrlProp425.xml"/><Relationship Id="rId29" Type="http://schemas.openxmlformats.org/officeDocument/2006/relationships/ctrlProp" Target="../ctrlProps/ctrlProp438.xml"/><Relationship Id="rId11" Type="http://schemas.openxmlformats.org/officeDocument/2006/relationships/ctrlProp" Target="../ctrlProps/ctrlProp420.xml"/><Relationship Id="rId24" Type="http://schemas.openxmlformats.org/officeDocument/2006/relationships/ctrlProp" Target="../ctrlProps/ctrlProp433.xml"/><Relationship Id="rId32" Type="http://schemas.openxmlformats.org/officeDocument/2006/relationships/ctrlProp" Target="../ctrlProps/ctrlProp441.xml"/><Relationship Id="rId37" Type="http://schemas.openxmlformats.org/officeDocument/2006/relationships/ctrlProp" Target="../ctrlProps/ctrlProp446.xml"/><Relationship Id="rId40" Type="http://schemas.openxmlformats.org/officeDocument/2006/relationships/ctrlProp" Target="../ctrlProps/ctrlProp449.xml"/><Relationship Id="rId45" Type="http://schemas.openxmlformats.org/officeDocument/2006/relationships/ctrlProp" Target="../ctrlProps/ctrlProp454.xml"/><Relationship Id="rId53" Type="http://schemas.openxmlformats.org/officeDocument/2006/relationships/ctrlProp" Target="../ctrlProps/ctrlProp462.xml"/><Relationship Id="rId58" Type="http://schemas.openxmlformats.org/officeDocument/2006/relationships/ctrlProp" Target="../ctrlProps/ctrlProp467.xml"/><Relationship Id="rId5" Type="http://schemas.openxmlformats.org/officeDocument/2006/relationships/ctrlProp" Target="../ctrlProps/ctrlProp414.xml"/><Relationship Id="rId61" Type="http://schemas.openxmlformats.org/officeDocument/2006/relationships/ctrlProp" Target="../ctrlProps/ctrlProp470.xml"/><Relationship Id="rId19" Type="http://schemas.openxmlformats.org/officeDocument/2006/relationships/ctrlProp" Target="../ctrlProps/ctrlProp428.xml"/><Relationship Id="rId14" Type="http://schemas.openxmlformats.org/officeDocument/2006/relationships/ctrlProp" Target="../ctrlProps/ctrlProp423.xml"/><Relationship Id="rId22" Type="http://schemas.openxmlformats.org/officeDocument/2006/relationships/ctrlProp" Target="../ctrlProps/ctrlProp431.xml"/><Relationship Id="rId27" Type="http://schemas.openxmlformats.org/officeDocument/2006/relationships/ctrlProp" Target="../ctrlProps/ctrlProp436.xml"/><Relationship Id="rId30" Type="http://schemas.openxmlformats.org/officeDocument/2006/relationships/ctrlProp" Target="../ctrlProps/ctrlProp439.xml"/><Relationship Id="rId35" Type="http://schemas.openxmlformats.org/officeDocument/2006/relationships/ctrlProp" Target="../ctrlProps/ctrlProp444.xml"/><Relationship Id="rId43" Type="http://schemas.openxmlformats.org/officeDocument/2006/relationships/ctrlProp" Target="../ctrlProps/ctrlProp452.xml"/><Relationship Id="rId48" Type="http://schemas.openxmlformats.org/officeDocument/2006/relationships/ctrlProp" Target="../ctrlProps/ctrlProp457.xml"/><Relationship Id="rId56" Type="http://schemas.openxmlformats.org/officeDocument/2006/relationships/ctrlProp" Target="../ctrlProps/ctrlProp465.xml"/><Relationship Id="rId8" Type="http://schemas.openxmlformats.org/officeDocument/2006/relationships/ctrlProp" Target="../ctrlProps/ctrlProp417.xml"/><Relationship Id="rId51" Type="http://schemas.openxmlformats.org/officeDocument/2006/relationships/ctrlProp" Target="../ctrlProps/ctrlProp460.xml"/><Relationship Id="rId3" Type="http://schemas.openxmlformats.org/officeDocument/2006/relationships/vmlDrawing" Target="../drawings/vmlDrawing22.vml"/><Relationship Id="rId12" Type="http://schemas.openxmlformats.org/officeDocument/2006/relationships/ctrlProp" Target="../ctrlProps/ctrlProp421.xml"/><Relationship Id="rId17" Type="http://schemas.openxmlformats.org/officeDocument/2006/relationships/ctrlProp" Target="../ctrlProps/ctrlProp426.xml"/><Relationship Id="rId25" Type="http://schemas.openxmlformats.org/officeDocument/2006/relationships/ctrlProp" Target="../ctrlProps/ctrlProp434.xml"/><Relationship Id="rId33" Type="http://schemas.openxmlformats.org/officeDocument/2006/relationships/ctrlProp" Target="../ctrlProps/ctrlProp442.xml"/><Relationship Id="rId38" Type="http://schemas.openxmlformats.org/officeDocument/2006/relationships/ctrlProp" Target="../ctrlProps/ctrlProp447.xml"/><Relationship Id="rId46" Type="http://schemas.openxmlformats.org/officeDocument/2006/relationships/ctrlProp" Target="../ctrlProps/ctrlProp455.xml"/><Relationship Id="rId59" Type="http://schemas.openxmlformats.org/officeDocument/2006/relationships/ctrlProp" Target="../ctrlProps/ctrlProp468.xml"/><Relationship Id="rId20" Type="http://schemas.openxmlformats.org/officeDocument/2006/relationships/ctrlProp" Target="../ctrlProps/ctrlProp429.xml"/><Relationship Id="rId41" Type="http://schemas.openxmlformats.org/officeDocument/2006/relationships/ctrlProp" Target="../ctrlProps/ctrlProp450.xml"/><Relationship Id="rId54" Type="http://schemas.openxmlformats.org/officeDocument/2006/relationships/ctrlProp" Target="../ctrlProps/ctrlProp463.xml"/><Relationship Id="rId1" Type="http://schemas.openxmlformats.org/officeDocument/2006/relationships/printerSettings" Target="../printerSettings/printerSettings23.bin"/><Relationship Id="rId6" Type="http://schemas.openxmlformats.org/officeDocument/2006/relationships/ctrlProp" Target="../ctrlProps/ctrlProp415.xml"/><Relationship Id="rId15" Type="http://schemas.openxmlformats.org/officeDocument/2006/relationships/ctrlProp" Target="../ctrlProps/ctrlProp424.xml"/><Relationship Id="rId23" Type="http://schemas.openxmlformats.org/officeDocument/2006/relationships/ctrlProp" Target="../ctrlProps/ctrlProp432.xml"/><Relationship Id="rId28" Type="http://schemas.openxmlformats.org/officeDocument/2006/relationships/ctrlProp" Target="../ctrlProps/ctrlProp437.xml"/><Relationship Id="rId36" Type="http://schemas.openxmlformats.org/officeDocument/2006/relationships/ctrlProp" Target="../ctrlProps/ctrlProp445.xml"/><Relationship Id="rId49" Type="http://schemas.openxmlformats.org/officeDocument/2006/relationships/ctrlProp" Target="../ctrlProps/ctrlProp458.xml"/><Relationship Id="rId57" Type="http://schemas.openxmlformats.org/officeDocument/2006/relationships/ctrlProp" Target="../ctrlProps/ctrlProp466.xml"/><Relationship Id="rId10" Type="http://schemas.openxmlformats.org/officeDocument/2006/relationships/ctrlProp" Target="../ctrlProps/ctrlProp419.xml"/><Relationship Id="rId31" Type="http://schemas.openxmlformats.org/officeDocument/2006/relationships/ctrlProp" Target="../ctrlProps/ctrlProp440.xml"/><Relationship Id="rId44" Type="http://schemas.openxmlformats.org/officeDocument/2006/relationships/ctrlProp" Target="../ctrlProps/ctrlProp453.xml"/><Relationship Id="rId52" Type="http://schemas.openxmlformats.org/officeDocument/2006/relationships/ctrlProp" Target="../ctrlProps/ctrlProp461.xml"/><Relationship Id="rId60" Type="http://schemas.openxmlformats.org/officeDocument/2006/relationships/ctrlProp" Target="../ctrlProps/ctrlProp469.xml"/><Relationship Id="rId4" Type="http://schemas.openxmlformats.org/officeDocument/2006/relationships/ctrlProp" Target="../ctrlProps/ctrlProp413.xml"/><Relationship Id="rId9" Type="http://schemas.openxmlformats.org/officeDocument/2006/relationships/ctrlProp" Target="../ctrlProps/ctrlProp418.xml"/></Relationships>
</file>

<file path=xl/worksheets/_rels/sheet24.xml.rels><?xml version="1.0" encoding="UTF-8" standalone="yes"?>
<Relationships xmlns="http://schemas.openxmlformats.org/package/2006/relationships"><Relationship Id="rId13" Type="http://schemas.openxmlformats.org/officeDocument/2006/relationships/ctrlProp" Target="../ctrlProps/ctrlProp480.xml"/><Relationship Id="rId18" Type="http://schemas.openxmlformats.org/officeDocument/2006/relationships/ctrlProp" Target="../ctrlProps/ctrlProp485.xml"/><Relationship Id="rId26" Type="http://schemas.openxmlformats.org/officeDocument/2006/relationships/ctrlProp" Target="../ctrlProps/ctrlProp493.xml"/><Relationship Id="rId39" Type="http://schemas.openxmlformats.org/officeDocument/2006/relationships/ctrlProp" Target="../ctrlProps/ctrlProp506.xml"/><Relationship Id="rId21" Type="http://schemas.openxmlformats.org/officeDocument/2006/relationships/ctrlProp" Target="../ctrlProps/ctrlProp488.xml"/><Relationship Id="rId34" Type="http://schemas.openxmlformats.org/officeDocument/2006/relationships/ctrlProp" Target="../ctrlProps/ctrlProp501.xml"/><Relationship Id="rId42" Type="http://schemas.openxmlformats.org/officeDocument/2006/relationships/ctrlProp" Target="../ctrlProps/ctrlProp509.xml"/><Relationship Id="rId47" Type="http://schemas.openxmlformats.org/officeDocument/2006/relationships/ctrlProp" Target="../ctrlProps/ctrlProp514.xml"/><Relationship Id="rId50" Type="http://schemas.openxmlformats.org/officeDocument/2006/relationships/ctrlProp" Target="../ctrlProps/ctrlProp517.xml"/><Relationship Id="rId55" Type="http://schemas.openxmlformats.org/officeDocument/2006/relationships/ctrlProp" Target="../ctrlProps/ctrlProp522.xml"/><Relationship Id="rId7" Type="http://schemas.openxmlformats.org/officeDocument/2006/relationships/ctrlProp" Target="../ctrlProps/ctrlProp474.xml"/><Relationship Id="rId2" Type="http://schemas.openxmlformats.org/officeDocument/2006/relationships/drawing" Target="../drawings/drawing23.xml"/><Relationship Id="rId16" Type="http://schemas.openxmlformats.org/officeDocument/2006/relationships/ctrlProp" Target="../ctrlProps/ctrlProp483.xml"/><Relationship Id="rId29" Type="http://schemas.openxmlformats.org/officeDocument/2006/relationships/ctrlProp" Target="../ctrlProps/ctrlProp496.xml"/><Relationship Id="rId11" Type="http://schemas.openxmlformats.org/officeDocument/2006/relationships/ctrlProp" Target="../ctrlProps/ctrlProp478.xml"/><Relationship Id="rId24" Type="http://schemas.openxmlformats.org/officeDocument/2006/relationships/ctrlProp" Target="../ctrlProps/ctrlProp491.xml"/><Relationship Id="rId32" Type="http://schemas.openxmlformats.org/officeDocument/2006/relationships/ctrlProp" Target="../ctrlProps/ctrlProp499.xml"/><Relationship Id="rId37" Type="http://schemas.openxmlformats.org/officeDocument/2006/relationships/ctrlProp" Target="../ctrlProps/ctrlProp504.xml"/><Relationship Id="rId40" Type="http://schemas.openxmlformats.org/officeDocument/2006/relationships/ctrlProp" Target="../ctrlProps/ctrlProp507.xml"/><Relationship Id="rId45" Type="http://schemas.openxmlformats.org/officeDocument/2006/relationships/ctrlProp" Target="../ctrlProps/ctrlProp512.xml"/><Relationship Id="rId53" Type="http://schemas.openxmlformats.org/officeDocument/2006/relationships/ctrlProp" Target="../ctrlProps/ctrlProp520.xml"/><Relationship Id="rId58" Type="http://schemas.openxmlformats.org/officeDocument/2006/relationships/ctrlProp" Target="../ctrlProps/ctrlProp525.xml"/><Relationship Id="rId5" Type="http://schemas.openxmlformats.org/officeDocument/2006/relationships/ctrlProp" Target="../ctrlProps/ctrlProp472.xml"/><Relationship Id="rId61" Type="http://schemas.openxmlformats.org/officeDocument/2006/relationships/ctrlProp" Target="../ctrlProps/ctrlProp528.xml"/><Relationship Id="rId19" Type="http://schemas.openxmlformats.org/officeDocument/2006/relationships/ctrlProp" Target="../ctrlProps/ctrlProp486.xml"/><Relationship Id="rId14" Type="http://schemas.openxmlformats.org/officeDocument/2006/relationships/ctrlProp" Target="../ctrlProps/ctrlProp481.xml"/><Relationship Id="rId22" Type="http://schemas.openxmlformats.org/officeDocument/2006/relationships/ctrlProp" Target="../ctrlProps/ctrlProp489.xml"/><Relationship Id="rId27" Type="http://schemas.openxmlformats.org/officeDocument/2006/relationships/ctrlProp" Target="../ctrlProps/ctrlProp494.xml"/><Relationship Id="rId30" Type="http://schemas.openxmlformats.org/officeDocument/2006/relationships/ctrlProp" Target="../ctrlProps/ctrlProp497.xml"/><Relationship Id="rId35" Type="http://schemas.openxmlformats.org/officeDocument/2006/relationships/ctrlProp" Target="../ctrlProps/ctrlProp502.xml"/><Relationship Id="rId43" Type="http://schemas.openxmlformats.org/officeDocument/2006/relationships/ctrlProp" Target="../ctrlProps/ctrlProp510.xml"/><Relationship Id="rId48" Type="http://schemas.openxmlformats.org/officeDocument/2006/relationships/ctrlProp" Target="../ctrlProps/ctrlProp515.xml"/><Relationship Id="rId56" Type="http://schemas.openxmlformats.org/officeDocument/2006/relationships/ctrlProp" Target="../ctrlProps/ctrlProp523.xml"/><Relationship Id="rId8" Type="http://schemas.openxmlformats.org/officeDocument/2006/relationships/ctrlProp" Target="../ctrlProps/ctrlProp475.xml"/><Relationship Id="rId51" Type="http://schemas.openxmlformats.org/officeDocument/2006/relationships/ctrlProp" Target="../ctrlProps/ctrlProp518.xml"/><Relationship Id="rId3" Type="http://schemas.openxmlformats.org/officeDocument/2006/relationships/vmlDrawing" Target="../drawings/vmlDrawing23.vml"/><Relationship Id="rId12" Type="http://schemas.openxmlformats.org/officeDocument/2006/relationships/ctrlProp" Target="../ctrlProps/ctrlProp479.xml"/><Relationship Id="rId17" Type="http://schemas.openxmlformats.org/officeDocument/2006/relationships/ctrlProp" Target="../ctrlProps/ctrlProp484.xml"/><Relationship Id="rId25" Type="http://schemas.openxmlformats.org/officeDocument/2006/relationships/ctrlProp" Target="../ctrlProps/ctrlProp492.xml"/><Relationship Id="rId33" Type="http://schemas.openxmlformats.org/officeDocument/2006/relationships/ctrlProp" Target="../ctrlProps/ctrlProp500.xml"/><Relationship Id="rId38" Type="http://schemas.openxmlformats.org/officeDocument/2006/relationships/ctrlProp" Target="../ctrlProps/ctrlProp505.xml"/><Relationship Id="rId46" Type="http://schemas.openxmlformats.org/officeDocument/2006/relationships/ctrlProp" Target="../ctrlProps/ctrlProp513.xml"/><Relationship Id="rId59" Type="http://schemas.openxmlformats.org/officeDocument/2006/relationships/ctrlProp" Target="../ctrlProps/ctrlProp526.xml"/><Relationship Id="rId20" Type="http://schemas.openxmlformats.org/officeDocument/2006/relationships/ctrlProp" Target="../ctrlProps/ctrlProp487.xml"/><Relationship Id="rId41" Type="http://schemas.openxmlformats.org/officeDocument/2006/relationships/ctrlProp" Target="../ctrlProps/ctrlProp508.xml"/><Relationship Id="rId54" Type="http://schemas.openxmlformats.org/officeDocument/2006/relationships/ctrlProp" Target="../ctrlProps/ctrlProp521.xml"/><Relationship Id="rId1" Type="http://schemas.openxmlformats.org/officeDocument/2006/relationships/printerSettings" Target="../printerSettings/printerSettings24.bin"/><Relationship Id="rId6" Type="http://schemas.openxmlformats.org/officeDocument/2006/relationships/ctrlProp" Target="../ctrlProps/ctrlProp473.xml"/><Relationship Id="rId15" Type="http://schemas.openxmlformats.org/officeDocument/2006/relationships/ctrlProp" Target="../ctrlProps/ctrlProp482.xml"/><Relationship Id="rId23" Type="http://schemas.openxmlformats.org/officeDocument/2006/relationships/ctrlProp" Target="../ctrlProps/ctrlProp490.xml"/><Relationship Id="rId28" Type="http://schemas.openxmlformats.org/officeDocument/2006/relationships/ctrlProp" Target="../ctrlProps/ctrlProp495.xml"/><Relationship Id="rId36" Type="http://schemas.openxmlformats.org/officeDocument/2006/relationships/ctrlProp" Target="../ctrlProps/ctrlProp503.xml"/><Relationship Id="rId49" Type="http://schemas.openxmlformats.org/officeDocument/2006/relationships/ctrlProp" Target="../ctrlProps/ctrlProp516.xml"/><Relationship Id="rId57" Type="http://schemas.openxmlformats.org/officeDocument/2006/relationships/ctrlProp" Target="../ctrlProps/ctrlProp524.xml"/><Relationship Id="rId10" Type="http://schemas.openxmlformats.org/officeDocument/2006/relationships/ctrlProp" Target="../ctrlProps/ctrlProp477.xml"/><Relationship Id="rId31" Type="http://schemas.openxmlformats.org/officeDocument/2006/relationships/ctrlProp" Target="../ctrlProps/ctrlProp498.xml"/><Relationship Id="rId44" Type="http://schemas.openxmlformats.org/officeDocument/2006/relationships/ctrlProp" Target="../ctrlProps/ctrlProp511.xml"/><Relationship Id="rId52" Type="http://schemas.openxmlformats.org/officeDocument/2006/relationships/ctrlProp" Target="../ctrlProps/ctrlProp519.xml"/><Relationship Id="rId60" Type="http://schemas.openxmlformats.org/officeDocument/2006/relationships/ctrlProp" Target="../ctrlProps/ctrlProp527.xml"/><Relationship Id="rId4" Type="http://schemas.openxmlformats.org/officeDocument/2006/relationships/ctrlProp" Target="../ctrlProps/ctrlProp471.xml"/><Relationship Id="rId9" Type="http://schemas.openxmlformats.org/officeDocument/2006/relationships/ctrlProp" Target="../ctrlProps/ctrlProp476.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GS-@%20TOD%20(On-Peak)" TargetMode="External"/><Relationship Id="rId1" Type="http://schemas.openxmlformats.org/officeDocument/2006/relationships/hyperlink" Target="mailto:GS-@%20TOD%20(On-Peak)" TargetMode="Externa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533.xml"/><Relationship Id="rId13" Type="http://schemas.openxmlformats.org/officeDocument/2006/relationships/ctrlProp" Target="../ctrlProps/ctrlProp538.xml"/><Relationship Id="rId18" Type="http://schemas.openxmlformats.org/officeDocument/2006/relationships/ctrlProp" Target="../ctrlProps/ctrlProp543.xml"/><Relationship Id="rId3" Type="http://schemas.openxmlformats.org/officeDocument/2006/relationships/vmlDrawing" Target="../drawings/vmlDrawing24.vml"/><Relationship Id="rId21" Type="http://schemas.openxmlformats.org/officeDocument/2006/relationships/ctrlProp" Target="../ctrlProps/ctrlProp546.xml"/><Relationship Id="rId7" Type="http://schemas.openxmlformats.org/officeDocument/2006/relationships/ctrlProp" Target="../ctrlProps/ctrlProp532.xml"/><Relationship Id="rId12" Type="http://schemas.openxmlformats.org/officeDocument/2006/relationships/ctrlProp" Target="../ctrlProps/ctrlProp537.xml"/><Relationship Id="rId17" Type="http://schemas.openxmlformats.org/officeDocument/2006/relationships/ctrlProp" Target="../ctrlProps/ctrlProp542.xml"/><Relationship Id="rId2" Type="http://schemas.openxmlformats.org/officeDocument/2006/relationships/drawing" Target="../drawings/drawing24.xml"/><Relationship Id="rId16" Type="http://schemas.openxmlformats.org/officeDocument/2006/relationships/ctrlProp" Target="../ctrlProps/ctrlProp541.xml"/><Relationship Id="rId20" Type="http://schemas.openxmlformats.org/officeDocument/2006/relationships/ctrlProp" Target="../ctrlProps/ctrlProp545.xml"/><Relationship Id="rId1" Type="http://schemas.openxmlformats.org/officeDocument/2006/relationships/printerSettings" Target="../printerSettings/printerSettings26.bin"/><Relationship Id="rId6" Type="http://schemas.openxmlformats.org/officeDocument/2006/relationships/ctrlProp" Target="../ctrlProps/ctrlProp531.xml"/><Relationship Id="rId11" Type="http://schemas.openxmlformats.org/officeDocument/2006/relationships/ctrlProp" Target="../ctrlProps/ctrlProp536.xml"/><Relationship Id="rId5" Type="http://schemas.openxmlformats.org/officeDocument/2006/relationships/ctrlProp" Target="../ctrlProps/ctrlProp530.xml"/><Relationship Id="rId15" Type="http://schemas.openxmlformats.org/officeDocument/2006/relationships/ctrlProp" Target="../ctrlProps/ctrlProp540.xml"/><Relationship Id="rId10" Type="http://schemas.openxmlformats.org/officeDocument/2006/relationships/ctrlProp" Target="../ctrlProps/ctrlProp535.xml"/><Relationship Id="rId19" Type="http://schemas.openxmlformats.org/officeDocument/2006/relationships/ctrlProp" Target="../ctrlProps/ctrlProp544.xml"/><Relationship Id="rId4" Type="http://schemas.openxmlformats.org/officeDocument/2006/relationships/ctrlProp" Target="../ctrlProps/ctrlProp529.xml"/><Relationship Id="rId9" Type="http://schemas.openxmlformats.org/officeDocument/2006/relationships/ctrlProp" Target="../ctrlProps/ctrlProp534.xml"/><Relationship Id="rId14" Type="http://schemas.openxmlformats.org/officeDocument/2006/relationships/ctrlProp" Target="../ctrlProps/ctrlProp539.xml"/><Relationship Id="rId22" Type="http://schemas.openxmlformats.org/officeDocument/2006/relationships/ctrlProp" Target="../ctrlProps/ctrlProp54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6.vml"/><Relationship Id="rId7" Type="http://schemas.openxmlformats.org/officeDocument/2006/relationships/ctrlProp" Target="../ctrlProps/ctrlProp2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8.vml"/><Relationship Id="rId7" Type="http://schemas.openxmlformats.org/officeDocument/2006/relationships/ctrlProp" Target="../ctrlProps/ctrlProp28.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9"/>
  <sheetViews>
    <sheetView showGridLines="0" tabSelected="1" zoomScaleNormal="100" workbookViewId="0">
      <selection activeCell="B21" sqref="B21"/>
    </sheetView>
  </sheetViews>
  <sheetFormatPr defaultRowHeight="12.5" x14ac:dyDescent="0.25"/>
  <cols>
    <col min="1" max="1" width="32.1796875" customWidth="1"/>
    <col min="2" max="2" width="15.453125" customWidth="1"/>
    <col min="3" max="4" width="11.54296875" customWidth="1"/>
    <col min="5" max="5" width="16.54296875" customWidth="1"/>
    <col min="6" max="6" width="23.26953125" customWidth="1"/>
    <col min="7" max="12" width="5.54296875" customWidth="1"/>
    <col min="13" max="13" width="13.7265625" customWidth="1"/>
    <col min="14" max="14" width="5.54296875" customWidth="1"/>
    <col min="15" max="15" width="5.453125" customWidth="1"/>
  </cols>
  <sheetData>
    <row r="1" spans="1:15" ht="15.5" x14ac:dyDescent="0.35">
      <c r="A1" s="423" t="s">
        <v>89</v>
      </c>
      <c r="B1" s="424"/>
      <c r="C1" s="424"/>
      <c r="D1" s="424"/>
      <c r="E1" s="424"/>
      <c r="F1" s="424"/>
      <c r="G1" s="4"/>
      <c r="H1" s="4"/>
      <c r="I1" s="4"/>
      <c r="J1" s="4"/>
      <c r="K1" s="4"/>
      <c r="L1" s="4"/>
      <c r="M1" s="4"/>
      <c r="N1" s="4"/>
      <c r="O1" s="4"/>
    </row>
    <row r="2" spans="1:15" ht="13" x14ac:dyDescent="0.3">
      <c r="A2" s="425" t="s">
        <v>284</v>
      </c>
      <c r="B2" s="426"/>
      <c r="C2" s="426"/>
      <c r="D2" s="426"/>
      <c r="E2" s="426"/>
      <c r="F2" s="426"/>
      <c r="G2" s="4" t="s">
        <v>15</v>
      </c>
      <c r="H2" s="4"/>
      <c r="I2" s="4"/>
      <c r="J2" s="4"/>
      <c r="K2" s="4"/>
      <c r="L2" s="4"/>
      <c r="M2" s="4" t="s">
        <v>15</v>
      </c>
      <c r="N2" s="4" t="s">
        <v>15</v>
      </c>
      <c r="O2" s="4" t="s">
        <v>15</v>
      </c>
    </row>
    <row r="3" spans="1:15" ht="13" x14ac:dyDescent="0.3">
      <c r="A3" s="421" t="s">
        <v>24</v>
      </c>
      <c r="B3" s="421"/>
      <c r="C3" s="421"/>
      <c r="D3" s="421"/>
      <c r="E3" s="421"/>
      <c r="F3" s="421"/>
    </row>
    <row r="4" spans="1:15" x14ac:dyDescent="0.25">
      <c r="A4" s="12"/>
      <c r="B4" s="12"/>
      <c r="C4" s="12"/>
      <c r="D4" s="12"/>
      <c r="E4" s="12"/>
      <c r="F4" s="12"/>
    </row>
    <row r="5" spans="1:15" ht="65.25" customHeight="1" x14ac:dyDescent="0.25">
      <c r="A5" s="422" t="s">
        <v>203</v>
      </c>
      <c r="B5" s="422"/>
      <c r="C5" s="422"/>
      <c r="D5" s="422"/>
      <c r="E5" s="422"/>
      <c r="F5" s="422"/>
    </row>
    <row r="6" spans="1:15" x14ac:dyDescent="0.25">
      <c r="A6" s="12"/>
      <c r="B6" s="12"/>
      <c r="C6" s="12"/>
      <c r="D6" s="12"/>
      <c r="E6" s="12"/>
      <c r="F6" s="11"/>
      <c r="O6" t="s">
        <v>15</v>
      </c>
    </row>
    <row r="7" spans="1:15" x14ac:dyDescent="0.25">
      <c r="A7" s="12" t="s">
        <v>2</v>
      </c>
      <c r="B7" s="428"/>
      <c r="C7" s="433"/>
      <c r="D7" s="433"/>
      <c r="E7" s="429"/>
      <c r="F7" s="11"/>
      <c r="G7" s="1"/>
      <c r="H7" s="1"/>
      <c r="I7" s="1"/>
      <c r="J7" s="1"/>
      <c r="K7" s="1"/>
      <c r="L7" s="1"/>
    </row>
    <row r="8" spans="1:15" x14ac:dyDescent="0.25">
      <c r="A8" s="231" t="s">
        <v>260</v>
      </c>
      <c r="B8" s="428"/>
      <c r="C8" s="429"/>
      <c r="D8" s="13"/>
      <c r="E8" s="13"/>
      <c r="F8" s="13"/>
      <c r="G8" s="1"/>
      <c r="H8" s="1"/>
      <c r="I8" s="1"/>
      <c r="J8" s="1"/>
      <c r="K8" s="1"/>
      <c r="L8" s="1"/>
    </row>
    <row r="9" spans="1:15" ht="13" x14ac:dyDescent="0.3">
      <c r="A9" s="231" t="s">
        <v>242</v>
      </c>
      <c r="B9" s="141">
        <v>4</v>
      </c>
      <c r="C9" s="141">
        <v>2024</v>
      </c>
      <c r="D9" s="13"/>
      <c r="E9" s="13"/>
      <c r="F9" s="13"/>
    </row>
    <row r="10" spans="1:15" x14ac:dyDescent="0.25">
      <c r="A10" s="12"/>
      <c r="B10" s="257" t="s">
        <v>100</v>
      </c>
      <c r="C10" s="252" t="s">
        <v>90</v>
      </c>
      <c r="D10" s="224"/>
      <c r="E10" s="140"/>
      <c r="F10" s="13"/>
    </row>
    <row r="11" spans="1:15" ht="13" x14ac:dyDescent="0.3">
      <c r="A11" s="12" t="s">
        <v>35</v>
      </c>
      <c r="B11" s="430" t="s">
        <v>94</v>
      </c>
      <c r="C11" s="431"/>
      <c r="D11" s="431"/>
      <c r="E11" s="431"/>
      <c r="F11" s="432"/>
    </row>
    <row r="12" spans="1:15" x14ac:dyDescent="0.25">
      <c r="A12" s="12"/>
      <c r="B12" s="12"/>
      <c r="C12" s="12"/>
      <c r="D12" s="12"/>
      <c r="E12" s="12"/>
      <c r="F12" s="12"/>
    </row>
    <row r="13" spans="1:15" x14ac:dyDescent="0.25">
      <c r="A13" s="12"/>
      <c r="B13" s="12"/>
      <c r="C13" s="12"/>
      <c r="D13" s="12"/>
      <c r="E13" s="12"/>
      <c r="F13" s="13"/>
    </row>
    <row r="14" spans="1:15" x14ac:dyDescent="0.25">
      <c r="A14" s="231" t="s">
        <v>286</v>
      </c>
      <c r="B14" s="119">
        <v>0</v>
      </c>
      <c r="C14" s="240" t="s">
        <v>45</v>
      </c>
      <c r="D14" s="11"/>
      <c r="E14" s="14"/>
      <c r="F14" s="11" t="s">
        <v>15</v>
      </c>
    </row>
    <row r="15" spans="1:15" x14ac:dyDescent="0.25">
      <c r="A15" s="231" t="s">
        <v>287</v>
      </c>
      <c r="B15" s="119">
        <v>0</v>
      </c>
      <c r="C15" s="240" t="s">
        <v>45</v>
      </c>
      <c r="D15" s="225"/>
      <c r="E15" s="64">
        <v>3</v>
      </c>
      <c r="F15" s="14" t="s">
        <v>15</v>
      </c>
      <c r="G15" s="2"/>
      <c r="H15" s="2"/>
      <c r="I15" s="2"/>
      <c r="J15" s="2"/>
      <c r="K15" s="2"/>
      <c r="L15" s="2"/>
    </row>
    <row r="16" spans="1:15" x14ac:dyDescent="0.25">
      <c r="A16" s="12" t="s">
        <v>130</v>
      </c>
      <c r="B16" s="385"/>
      <c r="C16" s="240" t="s">
        <v>45</v>
      </c>
      <c r="D16" s="225"/>
      <c r="E16" s="64">
        <v>1</v>
      </c>
      <c r="F16" s="14" t="s">
        <v>15</v>
      </c>
      <c r="G16" s="2"/>
      <c r="H16" s="2"/>
      <c r="I16" s="2"/>
      <c r="J16" s="2"/>
      <c r="K16" s="2"/>
      <c r="L16" s="2"/>
    </row>
    <row r="17" spans="1:13" x14ac:dyDescent="0.25">
      <c r="A17" s="12"/>
      <c r="B17" s="14"/>
      <c r="C17" s="14"/>
      <c r="D17" s="14"/>
      <c r="E17" s="64">
        <v>2</v>
      </c>
      <c r="F17" s="14" t="s">
        <v>15</v>
      </c>
      <c r="G17" s="2"/>
      <c r="H17" s="2"/>
      <c r="I17" s="2"/>
      <c r="J17" s="2"/>
      <c r="K17" s="2"/>
      <c r="L17" s="2"/>
    </row>
    <row r="18" spans="1:13" x14ac:dyDescent="0.25">
      <c r="A18" s="12" t="s">
        <v>76</v>
      </c>
      <c r="B18" s="211"/>
      <c r="C18" s="14"/>
      <c r="D18" s="14"/>
      <c r="E18" s="230">
        <f>IF(E16=1,1,IF(E16=2,0.98,1.01))</f>
        <v>1</v>
      </c>
      <c r="F18" s="65"/>
      <c r="G18" s="2"/>
      <c r="H18" s="2"/>
      <c r="I18" s="2"/>
      <c r="J18" s="2"/>
      <c r="K18" s="2"/>
      <c r="L18" s="2"/>
    </row>
    <row r="19" spans="1:13" x14ac:dyDescent="0.25">
      <c r="A19" s="12" t="s">
        <v>77</v>
      </c>
      <c r="B19" s="211">
        <v>0</v>
      </c>
      <c r="C19" s="14"/>
      <c r="D19" s="14"/>
      <c r="E19" s="64"/>
      <c r="F19" s="14"/>
      <c r="G19" s="2"/>
      <c r="H19" s="2"/>
      <c r="I19" s="2"/>
      <c r="J19" s="2"/>
      <c r="K19" s="2"/>
      <c r="L19" s="2"/>
    </row>
    <row r="20" spans="1:13" x14ac:dyDescent="0.25">
      <c r="A20" s="12"/>
      <c r="B20" s="14"/>
      <c r="C20" s="14"/>
      <c r="D20" s="14"/>
      <c r="E20" s="64"/>
      <c r="F20" s="14"/>
      <c r="G20" s="2"/>
      <c r="H20" s="2"/>
      <c r="I20" s="2"/>
      <c r="J20" s="2"/>
      <c r="K20" s="2"/>
      <c r="L20" s="2"/>
    </row>
    <row r="21" spans="1:13" x14ac:dyDescent="0.25">
      <c r="A21" s="12" t="s">
        <v>87</v>
      </c>
      <c r="B21" s="119"/>
      <c r="C21" s="229" t="s">
        <v>41</v>
      </c>
      <c r="D21" s="14"/>
      <c r="E21" s="64"/>
      <c r="F21" s="14"/>
      <c r="G21" s="2"/>
      <c r="H21" s="2"/>
      <c r="I21" s="2"/>
      <c r="J21" s="2"/>
      <c r="K21" s="2"/>
      <c r="L21" s="2"/>
    </row>
    <row r="22" spans="1:13" x14ac:dyDescent="0.25">
      <c r="A22" s="12" t="s">
        <v>88</v>
      </c>
      <c r="B22" s="119">
        <v>0</v>
      </c>
      <c r="C22" s="229" t="s">
        <v>41</v>
      </c>
      <c r="D22" s="14"/>
      <c r="E22" s="64"/>
      <c r="F22" s="14"/>
      <c r="G22" s="2"/>
      <c r="H22" s="2"/>
      <c r="I22" s="2"/>
      <c r="J22" s="2"/>
      <c r="K22" s="2"/>
      <c r="L22" s="2"/>
    </row>
    <row r="23" spans="1:13" x14ac:dyDescent="0.25">
      <c r="A23" s="231" t="s">
        <v>285</v>
      </c>
      <c r="B23" s="119">
        <v>0</v>
      </c>
      <c r="C23" s="229" t="s">
        <v>41</v>
      </c>
      <c r="D23" s="229"/>
      <c r="E23" s="64"/>
      <c r="F23" s="14"/>
      <c r="G23" s="2"/>
      <c r="H23" s="2"/>
      <c r="I23" s="2"/>
      <c r="J23" s="2"/>
      <c r="K23" s="2"/>
      <c r="L23" s="2"/>
    </row>
    <row r="24" spans="1:13" x14ac:dyDescent="0.25">
      <c r="A24" s="12"/>
      <c r="B24" s="14"/>
      <c r="C24" s="14"/>
      <c r="D24" s="229"/>
      <c r="E24" s="231" t="s">
        <v>15</v>
      </c>
      <c r="F24" s="216"/>
      <c r="G24" s="2"/>
      <c r="H24" s="2"/>
      <c r="I24" s="2"/>
      <c r="J24" s="2"/>
      <c r="K24" s="2"/>
      <c r="L24" s="2"/>
      <c r="M24" s="217"/>
    </row>
    <row r="25" spans="1:13" x14ac:dyDescent="0.25">
      <c r="A25" s="12"/>
      <c r="B25" s="14"/>
      <c r="C25" s="14"/>
      <c r="D25" s="229"/>
      <c r="E25" s="219"/>
      <c r="F25" s="216"/>
    </row>
    <row r="26" spans="1:13" x14ac:dyDescent="0.25">
      <c r="A26" s="12" t="s">
        <v>127</v>
      </c>
      <c r="B26" s="122"/>
      <c r="C26" s="229" t="s">
        <v>126</v>
      </c>
      <c r="D26" s="229"/>
      <c r="E26" s="236"/>
      <c r="F26" s="218"/>
      <c r="G26" s="2"/>
      <c r="H26" s="2"/>
      <c r="I26" s="2"/>
      <c r="J26" s="2"/>
      <c r="K26" s="2"/>
      <c r="L26" s="2"/>
    </row>
    <row r="27" spans="1:13" x14ac:dyDescent="0.25">
      <c r="A27" s="12" t="s">
        <v>52</v>
      </c>
      <c r="B27" s="122">
        <v>0</v>
      </c>
      <c r="C27" s="229" t="s">
        <v>46</v>
      </c>
      <c r="D27" s="229"/>
      <c r="E27" s="231"/>
      <c r="F27" s="14" t="s">
        <v>15</v>
      </c>
      <c r="G27" s="2"/>
      <c r="H27" s="2"/>
      <c r="I27" s="2"/>
      <c r="J27" s="2"/>
      <c r="K27" s="2"/>
      <c r="L27" s="2"/>
    </row>
    <row r="28" spans="1:13" x14ac:dyDescent="0.25">
      <c r="A28" s="12"/>
      <c r="B28" s="14"/>
      <c r="C28" s="14"/>
      <c r="D28" s="229"/>
      <c r="E28" s="231"/>
      <c r="F28" s="14" t="s">
        <v>15</v>
      </c>
      <c r="G28" s="2"/>
      <c r="H28" s="2"/>
      <c r="I28" s="2"/>
      <c r="J28" s="2"/>
      <c r="K28" s="2"/>
      <c r="L28" s="2"/>
    </row>
    <row r="29" spans="1:13" ht="13" x14ac:dyDescent="0.3">
      <c r="A29" s="12" t="s">
        <v>0</v>
      </c>
      <c r="B29" s="57"/>
      <c r="C29" s="232" t="s">
        <v>131</v>
      </c>
      <c r="D29" s="233">
        <f>IF(ISNUMBER(B29),B29,IF(ISNUMBER(B27),(IF(ABS(B21+B22)&gt;0,ROUND(COS(ATAN(B27/(B21+B22))),3),1)),1))</f>
        <v>1</v>
      </c>
      <c r="E29" s="231"/>
      <c r="F29" s="14" t="s">
        <v>15</v>
      </c>
      <c r="G29" s="2"/>
      <c r="H29" s="2"/>
      <c r="I29" s="2"/>
      <c r="J29" s="2"/>
      <c r="K29" s="2"/>
      <c r="L29" s="2"/>
    </row>
    <row r="30" spans="1:13" x14ac:dyDescent="0.25">
      <c r="A30" s="12"/>
      <c r="B30" s="14"/>
      <c r="C30" s="14"/>
      <c r="D30" s="234">
        <f>IF(D29&lt;&gt;0,SIGN(D29)*ROUND(1/D29,3),0)</f>
        <v>1</v>
      </c>
      <c r="E30" s="12"/>
      <c r="F30" s="65"/>
      <c r="G30" s="2"/>
      <c r="H30" s="2"/>
      <c r="I30" s="2"/>
      <c r="J30" s="2"/>
      <c r="K30" s="2"/>
      <c r="L30" s="2"/>
    </row>
    <row r="31" spans="1:13" ht="12" customHeight="1" x14ac:dyDescent="0.25">
      <c r="A31" s="62"/>
      <c r="B31" s="213"/>
      <c r="C31" s="248"/>
      <c r="D31" s="235"/>
      <c r="E31" s="12" t="s">
        <v>15</v>
      </c>
      <c r="F31" s="216"/>
      <c r="G31" s="2"/>
      <c r="H31" s="2"/>
      <c r="I31" s="2"/>
      <c r="J31" s="2"/>
      <c r="K31" s="2"/>
      <c r="L31" s="2"/>
    </row>
    <row r="32" spans="1:13" ht="12.75" customHeight="1" x14ac:dyDescent="0.25">
      <c r="A32" s="63" t="s">
        <v>125</v>
      </c>
      <c r="B32" s="213"/>
      <c r="C32" s="248" t="b">
        <v>0</v>
      </c>
      <c r="D32" s="235"/>
      <c r="E32" s="231"/>
      <c r="F32" s="231"/>
    </row>
    <row r="33" spans="1:6" ht="12" customHeight="1" x14ac:dyDescent="0.25">
      <c r="A33" s="63" t="s">
        <v>128</v>
      </c>
      <c r="B33" s="214"/>
      <c r="C33" s="248" t="b">
        <v>0</v>
      </c>
      <c r="D33" s="235"/>
      <c r="E33" s="231"/>
      <c r="F33" s="231"/>
    </row>
    <row r="34" spans="1:6" x14ac:dyDescent="0.25">
      <c r="A34" s="258" t="s">
        <v>226</v>
      </c>
      <c r="B34" s="214"/>
      <c r="C34" s="259" t="b">
        <v>0</v>
      </c>
      <c r="D34" s="215"/>
      <c r="E34" s="12"/>
      <c r="F34" s="216"/>
    </row>
    <row r="35" spans="1:6" ht="12" customHeight="1" x14ac:dyDescent="0.25">
      <c r="A35" s="63"/>
      <c r="B35" s="74"/>
      <c r="C35" s="215"/>
      <c r="D35" s="215"/>
      <c r="E35" s="12"/>
      <c r="F35" s="216"/>
    </row>
    <row r="36" spans="1:6" x14ac:dyDescent="0.25">
      <c r="A36" s="427" t="s">
        <v>25</v>
      </c>
      <c r="B36" s="427"/>
      <c r="C36" s="427"/>
      <c r="D36" s="223"/>
      <c r="E36" s="231"/>
      <c r="F36" s="291" t="s">
        <v>326</v>
      </c>
    </row>
    <row r="37" spans="1:6" x14ac:dyDescent="0.25">
      <c r="A37" s="12"/>
      <c r="B37" s="12"/>
      <c r="C37" s="12"/>
      <c r="D37" s="12"/>
      <c r="E37" s="12"/>
      <c r="F37" s="244"/>
    </row>
    <row r="39" spans="1:6" x14ac:dyDescent="0.25">
      <c r="B39" s="3"/>
    </row>
  </sheetData>
  <sheetProtection algorithmName="SHA-512" hashValue="UcthYkwlzefsr6jpOufbD9TKQtlK2pGHzm6Ywp37668xU5uat7VTXBB0F9Gou2k9Q6OFdcY9gSkjPSC9QtVRjA==" saltValue="fuo3DoI/I680eFmy+hDLug==" spinCount="100000" sheet="1" selectLockedCells="1"/>
  <mergeCells count="8">
    <mergeCell ref="A3:F3"/>
    <mergeCell ref="A5:F5"/>
    <mergeCell ref="A1:F1"/>
    <mergeCell ref="A2:F2"/>
    <mergeCell ref="A36:C36"/>
    <mergeCell ref="B8:C8"/>
    <mergeCell ref="B11:F11"/>
    <mergeCell ref="B7:E7"/>
  </mergeCells>
  <phoneticPr fontId="0" type="noConversion"/>
  <hyperlinks>
    <hyperlink ref="M13:N13" location="'Bundled GS-2 Subtran-Trans'!A1" display="GS-2 Sub Bundled" xr:uid="{00000000-0004-0000-0000-000000000000}"/>
    <hyperlink ref="M23:N23" location="'Bundled GS-3 Subtran-Trans'!A1" display="GS-3 Subtrans/Trans Bundled" xr:uid="{00000000-0004-0000-0000-000001000000}"/>
    <hyperlink ref="G25:M25" location="'Bundled GS-4 Pri'!A1" display="GS-4 Pri Bundled" xr:uid="{00000000-0004-0000-0000-000002000000}"/>
    <hyperlink ref="M17:N17" location="'Bundled GS-3 Pri'!A1" display="GS-3 Pri Bundled" xr:uid="{00000000-0004-0000-0000-000003000000}"/>
    <hyperlink ref="M16:N16" location="'Bundled GS-3 Sec'!A1" display="GS-3 Sec Bundled" xr:uid="{00000000-0004-0000-0000-000004000000}"/>
    <hyperlink ref="M15:N15" location="'Bundled GS-TOD Sec'!Print_Area" display="GS-TOD Bundled" xr:uid="{00000000-0004-0000-0000-000005000000}"/>
    <hyperlink ref="M11:N11" location="'Bundled GS-2 Pri'!A1" display="GS-2 Pri Bundled" xr:uid="{00000000-0004-0000-0000-000006000000}"/>
    <hyperlink ref="M10:N10" location="'Bundled GS-2 Sec'!A1" display="GS-2 Sec Bundled" xr:uid="{00000000-0004-0000-0000-000007000000}"/>
    <hyperlink ref="M9:N9" location="'Bundled GS-1 Sec'!A1" display="GS-1 Bundled" xr:uid="{00000000-0004-0000-0000-000008000000}"/>
    <hyperlink ref="M8:N8" location="'Bundled RS-TOD Sec'!A1" display="RS-TOD Bundled" xr:uid="{00000000-0004-0000-0000-000009000000}"/>
    <hyperlink ref="M7:N7" location="'Bundled RS Sec'!A1" display="RS Bundled" xr:uid="{00000000-0004-0000-0000-00000A000000}"/>
  </hyperlinks>
  <printOptions horizontalCentered="1" headings="1" gridLines="1"/>
  <pageMargins left="0.5" right="0.5" top="0.5" bottom="0.5" header="0.25" footer="0.25"/>
  <pageSetup orientation="landscape" r:id="rId1"/>
  <headerFooter alignWithMargins="0"/>
  <cellWatches>
    <cellWatch r="G31"/>
    <cellWatch r="G24"/>
  </cellWatches>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1</xdr:col>
                    <xdr:colOff>12700</xdr:colOff>
                    <xdr:row>30</xdr:row>
                    <xdr:rowOff>95250</xdr:rowOff>
                  </from>
                  <to>
                    <xdr:col>1</xdr:col>
                    <xdr:colOff>457200</xdr:colOff>
                    <xdr:row>32</xdr:row>
                    <xdr:rowOff>31750</xdr:rowOff>
                  </to>
                </anchor>
              </controlPr>
            </control>
          </mc:Choice>
        </mc:AlternateContent>
        <mc:AlternateContent xmlns:mc="http://schemas.openxmlformats.org/markup-compatibility/2006">
          <mc:Choice Requires="x14">
            <control shapeId="2157" r:id="rId5" name="Check Box 109">
              <controlPr defaultSize="0" autoFill="0" autoLine="0" autoPict="0" macro="[0]!Info">
                <anchor moveWithCells="1">
                  <from>
                    <xdr:col>1</xdr:col>
                    <xdr:colOff>12700</xdr:colOff>
                    <xdr:row>31</xdr:row>
                    <xdr:rowOff>69850</xdr:rowOff>
                  </from>
                  <to>
                    <xdr:col>2</xdr:col>
                    <xdr:colOff>107950</xdr:colOff>
                    <xdr:row>33</xdr:row>
                    <xdr:rowOff>50800</xdr:rowOff>
                  </to>
                </anchor>
              </controlPr>
            </control>
          </mc:Choice>
        </mc:AlternateContent>
        <mc:AlternateContent xmlns:mc="http://schemas.openxmlformats.org/markup-compatibility/2006">
          <mc:Choice Requires="x14">
            <control shapeId="2193" r:id="rId6" name="Check Box 145">
              <controlPr defaultSize="0" autoFill="0" autoLine="0" autoPict="0">
                <anchor moveWithCells="1">
                  <from>
                    <xdr:col>1</xdr:col>
                    <xdr:colOff>12700</xdr:colOff>
                    <xdr:row>32</xdr:row>
                    <xdr:rowOff>88900</xdr:rowOff>
                  </from>
                  <to>
                    <xdr:col>1</xdr:col>
                    <xdr:colOff>603250</xdr:colOff>
                    <xdr:row>34</xdr:row>
                    <xdr:rowOff>12700</xdr:rowOff>
                  </to>
                </anchor>
              </controlPr>
            </control>
          </mc:Choice>
        </mc:AlternateContent>
        <mc:AlternateContent xmlns:mc="http://schemas.openxmlformats.org/markup-compatibility/2006">
          <mc:Choice Requires="x14">
            <control shapeId="2066" r:id="rId7" name="Option Button 18">
              <controlPr defaultSize="0" autoFill="0" autoLine="0" autoPict="0" macro="[0]!OptionButton18_Click">
                <anchor moveWithCells="1">
                  <from>
                    <xdr:col>4</xdr:col>
                    <xdr:colOff>304800</xdr:colOff>
                    <xdr:row>12</xdr:row>
                    <xdr:rowOff>95250</xdr:rowOff>
                  </from>
                  <to>
                    <xdr:col>5</xdr:col>
                    <xdr:colOff>679450</xdr:colOff>
                    <xdr:row>14</xdr:row>
                    <xdr:rowOff>31750</xdr:rowOff>
                  </to>
                </anchor>
              </controlPr>
            </control>
          </mc:Choice>
        </mc:AlternateContent>
        <mc:AlternateContent xmlns:mc="http://schemas.openxmlformats.org/markup-compatibility/2006">
          <mc:Choice Requires="x14">
            <control shapeId="2067" r:id="rId8" name="Option Button 19">
              <controlPr defaultSize="0" autoFill="0" autoLine="0" autoPict="0">
                <anchor moveWithCells="1">
                  <from>
                    <xdr:col>4</xdr:col>
                    <xdr:colOff>304800</xdr:colOff>
                    <xdr:row>14</xdr:row>
                    <xdr:rowOff>31750</xdr:rowOff>
                  </from>
                  <to>
                    <xdr:col>5</xdr:col>
                    <xdr:colOff>679450</xdr:colOff>
                    <xdr:row>15</xdr:row>
                    <xdr:rowOff>69850</xdr:rowOff>
                  </to>
                </anchor>
              </controlPr>
            </control>
          </mc:Choice>
        </mc:AlternateContent>
        <mc:AlternateContent xmlns:mc="http://schemas.openxmlformats.org/markup-compatibility/2006">
          <mc:Choice Requires="x14">
            <control shapeId="2068" r:id="rId9" name="Option Button 20">
              <controlPr defaultSize="0" autoFill="0" autoLine="0" autoPict="0">
                <anchor moveWithCells="1">
                  <from>
                    <xdr:col>4</xdr:col>
                    <xdr:colOff>304800</xdr:colOff>
                    <xdr:row>15</xdr:row>
                    <xdr:rowOff>69850</xdr:rowOff>
                  </from>
                  <to>
                    <xdr:col>5</xdr:col>
                    <xdr:colOff>679450</xdr:colOff>
                    <xdr:row>16</xdr:row>
                    <xdr:rowOff>107950</xdr:rowOff>
                  </to>
                </anchor>
              </controlPr>
            </control>
          </mc:Choice>
        </mc:AlternateContent>
        <mc:AlternateContent xmlns:mc="http://schemas.openxmlformats.org/markup-compatibility/2006">
          <mc:Choice Requires="x14">
            <control shapeId="2069" r:id="rId10" name="Group Box 21">
              <controlPr defaultSize="0" autoFill="0" autoPict="0">
                <anchor moveWithCells="1">
                  <from>
                    <xdr:col>4</xdr:col>
                    <xdr:colOff>304800</xdr:colOff>
                    <xdr:row>12</xdr:row>
                    <xdr:rowOff>69850</xdr:rowOff>
                  </from>
                  <to>
                    <xdr:col>5</xdr:col>
                    <xdr:colOff>679450</xdr:colOff>
                    <xdr:row>17</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dimension ref="A1:IB66"/>
  <sheetViews>
    <sheetView showGridLines="0" topLeftCell="C40" zoomScale="80" zoomScaleNormal="80" workbookViewId="0">
      <selection activeCell="A23" sqref="A23:XFD23"/>
    </sheetView>
  </sheetViews>
  <sheetFormatPr defaultRowHeight="12.5" x14ac:dyDescent="0.25"/>
  <cols>
    <col min="1" max="1" width="31" customWidth="1"/>
    <col min="2" max="2" width="2.1796875" customWidth="1"/>
    <col min="3" max="3" width="21.1796875" customWidth="1"/>
    <col min="4" max="4" width="15.26953125" customWidth="1"/>
    <col min="5" max="5" width="10.1796875" customWidth="1"/>
    <col min="6" max="6" width="5.54296875" customWidth="1"/>
    <col min="7" max="8" width="13.26953125" customWidth="1"/>
    <col min="9" max="9" width="14.54296875" customWidth="1"/>
    <col min="10" max="10" width="13.26953125" customWidth="1"/>
    <col min="11" max="11" width="7" customWidth="1"/>
    <col min="12" max="12" width="15.1796875" customWidth="1"/>
    <col min="13" max="13" width="17.26953125" bestFit="1" customWidth="1"/>
    <col min="14" max="14" width="16.7265625" customWidth="1"/>
    <col min="15" max="15" width="19.1796875" bestFit="1" customWidth="1"/>
    <col min="16" max="16" width="12.81640625" bestFit="1" customWidth="1"/>
    <col min="18" max="18" width="9.17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row>
    <row r="2" spans="1:30" ht="20" x14ac:dyDescent="0.4">
      <c r="A2" s="436" t="s">
        <v>122</v>
      </c>
      <c r="B2" s="436"/>
      <c r="C2" s="436"/>
      <c r="D2" s="436"/>
      <c r="E2" s="436"/>
      <c r="F2" s="436"/>
      <c r="G2" s="436"/>
      <c r="H2" s="436"/>
      <c r="I2" s="436"/>
      <c r="J2" s="436"/>
      <c r="K2" s="436"/>
      <c r="L2" s="436"/>
      <c r="M2" s="436"/>
      <c r="N2" s="436"/>
      <c r="O2" s="436"/>
      <c r="P2" s="436"/>
    </row>
    <row r="3" spans="1:30" ht="18" x14ac:dyDescent="0.4">
      <c r="A3" s="452" t="s">
        <v>83</v>
      </c>
      <c r="B3" s="452"/>
      <c r="C3" s="452"/>
      <c r="D3" s="452"/>
      <c r="E3" s="452"/>
      <c r="F3" s="452"/>
      <c r="G3" s="452"/>
      <c r="H3" s="452"/>
      <c r="I3" s="452"/>
      <c r="J3" s="452"/>
      <c r="K3" s="452"/>
      <c r="L3" s="452"/>
      <c r="M3" s="452"/>
      <c r="N3" s="452"/>
      <c r="O3" s="452"/>
      <c r="P3" s="452"/>
    </row>
    <row r="4" spans="1:30"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30" ht="15.5" x14ac:dyDescent="0.35">
      <c r="A5" s="75"/>
      <c r="B5" s="75"/>
      <c r="C5" s="75"/>
      <c r="D5" s="75"/>
      <c r="E5" s="75"/>
      <c r="F5" s="75"/>
      <c r="G5" s="75"/>
      <c r="H5" s="75"/>
      <c r="I5" s="75"/>
      <c r="J5" s="75"/>
      <c r="K5" s="75"/>
    </row>
    <row r="6" spans="1:30" x14ac:dyDescent="0.25">
      <c r="A6" s="76">
        <f ca="1">TODAY()</f>
        <v>45378</v>
      </c>
      <c r="B6" s="210" t="s">
        <v>239</v>
      </c>
      <c r="C6" s="76"/>
      <c r="D6" s="76"/>
      <c r="E6" s="76"/>
      <c r="F6" s="76"/>
      <c r="G6" s="76"/>
      <c r="H6" s="76"/>
      <c r="I6" s="76"/>
    </row>
    <row r="7" spans="1:30" ht="25" x14ac:dyDescent="0.5">
      <c r="A7" s="453"/>
      <c r="B7" s="453"/>
      <c r="C7" s="453"/>
      <c r="D7" s="453"/>
      <c r="E7" s="453"/>
      <c r="F7" s="453"/>
      <c r="G7" s="453"/>
      <c r="H7" s="453"/>
      <c r="I7" s="453"/>
      <c r="J7" s="453"/>
      <c r="K7" s="453"/>
      <c r="L7" s="453"/>
      <c r="M7" s="453"/>
      <c r="N7" s="453"/>
      <c r="O7" s="453"/>
      <c r="P7" s="453"/>
    </row>
    <row r="8" spans="1:30" x14ac:dyDescent="0.25">
      <c r="C8" s="18"/>
      <c r="D8" s="18"/>
      <c r="E8" s="18"/>
      <c r="F8" s="18"/>
      <c r="G8" s="18"/>
      <c r="H8" s="18"/>
      <c r="I8" s="18"/>
      <c r="J8" s="18"/>
      <c r="K8" s="18"/>
    </row>
    <row r="9" spans="1:30" ht="15.5" x14ac:dyDescent="0.35">
      <c r="A9" s="23" t="s">
        <v>2</v>
      </c>
      <c r="B9" s="24"/>
      <c r="C9" s="25">
        <f>'Customer Info'!B7</f>
        <v>0</v>
      </c>
      <c r="I9" s="26"/>
    </row>
    <row r="10" spans="1:30" ht="15.5" x14ac:dyDescent="0.35">
      <c r="A10" s="27" t="s">
        <v>26</v>
      </c>
      <c r="B10" s="24"/>
      <c r="C10" s="25">
        <f>'Customer Info'!B8</f>
        <v>0</v>
      </c>
    </row>
    <row r="11" spans="1:30" ht="13" x14ac:dyDescent="0.3">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ht="13" x14ac:dyDescent="0.3">
      <c r="A12" s="446"/>
      <c r="B12" s="446"/>
      <c r="C12" s="446"/>
      <c r="D12" s="446"/>
      <c r="E12" s="446"/>
      <c r="F12" s="446"/>
      <c r="G12" s="446"/>
      <c r="H12" s="446"/>
      <c r="I12" s="446"/>
      <c r="J12" s="92"/>
      <c r="K12" s="92"/>
      <c r="L12" s="128"/>
      <c r="M12" s="128"/>
      <c r="N12" s="128"/>
      <c r="O12" s="128"/>
      <c r="P12" s="12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ht="13" x14ac:dyDescent="0.3">
      <c r="A13" s="28" t="s">
        <v>27</v>
      </c>
      <c r="B13" s="22"/>
      <c r="C13" s="22"/>
      <c r="D13" s="22"/>
      <c r="E13" s="22"/>
      <c r="F13" s="22"/>
      <c r="G13" s="22"/>
      <c r="H13" s="22"/>
      <c r="I13" s="22"/>
      <c r="R13" s="3" t="s">
        <v>196</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5">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5">
      <c r="A15" s="31" t="s">
        <v>51</v>
      </c>
      <c r="B15" s="31"/>
      <c r="C15" s="32">
        <f>IF('Customer Info'!B21+'Customer Info'!B22-'Customer Info'!B23&lt;0,0,'Customer Info'!B21+'Customer Info'!B22-'Customer Info'!B23)</f>
        <v>0</v>
      </c>
      <c r="D15" s="31" t="s">
        <v>41</v>
      </c>
      <c r="E15" s="31"/>
      <c r="F15" s="33"/>
      <c r="G15" s="31"/>
      <c r="H15" s="31"/>
      <c r="I15" s="31"/>
      <c r="R15" s="78"/>
      <c r="S15" s="193"/>
      <c r="T15" s="193"/>
      <c r="U15" s="193"/>
      <c r="V15" s="193"/>
      <c r="W15" s="193"/>
      <c r="X15" s="193"/>
      <c r="Y15" s="193"/>
      <c r="Z15" s="193"/>
      <c r="AA15" s="193"/>
      <c r="AB15" s="193"/>
      <c r="AC15" s="193"/>
      <c r="AD15" s="193"/>
    </row>
    <row r="16" spans="1:30" ht="13" x14ac:dyDescent="0.3">
      <c r="A16" s="31" t="s">
        <v>235</v>
      </c>
      <c r="B16" s="31"/>
      <c r="C16" s="32">
        <f>'Customer Info'!B21</f>
        <v>0</v>
      </c>
      <c r="D16" s="31" t="s">
        <v>41</v>
      </c>
      <c r="E16" s="31"/>
      <c r="F16" s="33"/>
      <c r="G16" s="23" t="s">
        <v>15</v>
      </c>
      <c r="H16" s="31"/>
    </row>
    <row r="17" spans="1:221" ht="13" x14ac:dyDescent="0.3">
      <c r="A17" s="31" t="s">
        <v>236</v>
      </c>
      <c r="B17" s="31"/>
      <c r="C17" s="32">
        <f>'Customer Info'!B22</f>
        <v>0</v>
      </c>
      <c r="D17" s="264" t="s">
        <v>41</v>
      </c>
      <c r="E17" s="33"/>
      <c r="F17" s="33"/>
      <c r="G17" s="23" t="s">
        <v>15</v>
      </c>
      <c r="H17" s="31"/>
      <c r="I17" s="52" t="s">
        <v>15</v>
      </c>
    </row>
    <row r="19" spans="1:221" ht="13" x14ac:dyDescent="0.3">
      <c r="A19" s="28" t="s">
        <v>31</v>
      </c>
      <c r="B19" s="22"/>
      <c r="C19" s="22"/>
      <c r="D19" s="22"/>
      <c r="E19" s="22"/>
      <c r="F19" s="22"/>
      <c r="G19" s="447" t="s">
        <v>67</v>
      </c>
      <c r="H19" s="448"/>
      <c r="I19" s="448"/>
      <c r="J19" s="449"/>
      <c r="K19" s="22"/>
      <c r="L19" s="450" t="s">
        <v>68</v>
      </c>
      <c r="M19" s="450"/>
      <c r="N19" s="450"/>
      <c r="O19" s="450"/>
    </row>
    <row r="20" spans="1:221" ht="13" x14ac:dyDescent="0.3">
      <c r="A20" s="18"/>
      <c r="B20" s="18"/>
      <c r="C20" s="18"/>
      <c r="D20" s="18"/>
      <c r="E20" s="18"/>
      <c r="F20" s="18"/>
      <c r="G20" s="8" t="s">
        <v>64</v>
      </c>
      <c r="H20" s="8" t="s">
        <v>65</v>
      </c>
      <c r="I20" s="8" t="s">
        <v>66</v>
      </c>
      <c r="J20" s="112" t="s">
        <v>34</v>
      </c>
      <c r="K20" s="18"/>
      <c r="L20" s="131" t="s">
        <v>64</v>
      </c>
      <c r="M20" s="131" t="s">
        <v>65</v>
      </c>
      <c r="N20" s="131" t="s">
        <v>66</v>
      </c>
      <c r="O20" s="132" t="s">
        <v>34</v>
      </c>
      <c r="P20" s="43" t="s">
        <v>56</v>
      </c>
    </row>
    <row r="21" spans="1:221" x14ac:dyDescent="0.25">
      <c r="A21" t="s">
        <v>32</v>
      </c>
      <c r="G21" s="86"/>
      <c r="H21" s="86"/>
      <c r="I21" s="86">
        <v>9.4</v>
      </c>
      <c r="J21" s="86">
        <f>SUM(G21:I21)</f>
        <v>9.4</v>
      </c>
      <c r="L21" s="88"/>
      <c r="M21" s="88"/>
      <c r="N21" s="88">
        <f>I21</f>
        <v>9.4</v>
      </c>
      <c r="O21" s="209">
        <f>SUM(L21:N21)</f>
        <v>9.4</v>
      </c>
      <c r="P21" s="245">
        <v>44531</v>
      </c>
    </row>
    <row r="22" spans="1:221" x14ac:dyDescent="0.25">
      <c r="A22" s="3" t="s">
        <v>304</v>
      </c>
      <c r="D22" s="1">
        <f>C15</f>
        <v>0</v>
      </c>
      <c r="E22" s="35" t="s">
        <v>41</v>
      </c>
      <c r="F22" s="4" t="s">
        <v>8</v>
      </c>
      <c r="G22" s="84"/>
      <c r="H22" s="84"/>
      <c r="I22" s="84">
        <v>2.05802E-2</v>
      </c>
      <c r="J22" s="84">
        <f>SUM(G22:I22)</f>
        <v>2.05802E-2</v>
      </c>
      <c r="K22" s="36" t="s">
        <v>42</v>
      </c>
      <c r="L22" s="87"/>
      <c r="M22" s="87"/>
      <c r="N22" s="87">
        <f>IF(C15&lt;0,0,ROUND($D22*I22,2))</f>
        <v>0</v>
      </c>
      <c r="O22" s="209">
        <f>SUM(L22:N22)</f>
        <v>0</v>
      </c>
      <c r="P22" s="245">
        <v>44531</v>
      </c>
    </row>
    <row r="23" spans="1:221" ht="13" x14ac:dyDescent="0.3">
      <c r="A23" s="37" t="s">
        <v>50</v>
      </c>
      <c r="B23" s="37"/>
      <c r="C23" s="37"/>
      <c r="D23" s="38"/>
      <c r="E23" s="38"/>
      <c r="F23" s="37"/>
      <c r="G23" s="37"/>
      <c r="H23" s="37"/>
      <c r="I23" s="37"/>
      <c r="J23" s="37"/>
      <c r="K23" s="39"/>
      <c r="L23" s="40"/>
      <c r="M23" s="40"/>
      <c r="N23" s="40">
        <f>SUM(N21:N22)</f>
        <v>9.4</v>
      </c>
      <c r="O23" s="40">
        <f>SUM(O21:O22)</f>
        <v>9.4</v>
      </c>
    </row>
    <row r="24" spans="1:221" ht="13" x14ac:dyDescent="0.3">
      <c r="A24" s="89"/>
      <c r="B24" s="89"/>
      <c r="C24" s="90"/>
      <c r="D24" s="90"/>
      <c r="E24" s="90"/>
      <c r="F24" s="90"/>
      <c r="G24" s="91"/>
      <c r="H24" s="91"/>
      <c r="I24" s="91"/>
      <c r="J24" s="91"/>
      <c r="K24" s="89"/>
      <c r="L24" s="89"/>
      <c r="M24" s="89"/>
      <c r="N24" s="89"/>
      <c r="O24" s="89"/>
      <c r="P24" s="89"/>
    </row>
    <row r="25" spans="1:221" ht="13" x14ac:dyDescent="0.3">
      <c r="A25" s="148" t="s">
        <v>69</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78</v>
      </c>
      <c r="B27" s="176"/>
      <c r="C27" s="176"/>
      <c r="D27" s="100">
        <f>IF($C$15&lt;0,0,IF($C$15&gt;833000,833000,$C$15))</f>
        <v>0</v>
      </c>
      <c r="E27" s="101" t="s">
        <v>41</v>
      </c>
      <c r="F27" s="102" t="s">
        <v>8</v>
      </c>
      <c r="G27" s="103"/>
      <c r="H27" s="103"/>
      <c r="I27" s="103">
        <f>'Rider Rates'!$B$4</f>
        <v>5.9216E-3</v>
      </c>
      <c r="J27" s="103">
        <f t="shared" ref="J27:J48" si="0">SUM(G27:I27)</f>
        <v>5.9216E-3</v>
      </c>
      <c r="K27" s="104" t="s">
        <v>42</v>
      </c>
      <c r="L27" s="105"/>
      <c r="M27" s="105"/>
      <c r="N27" s="105">
        <f t="shared" ref="N27:N32" si="1">ROUND(D27*I27,2)</f>
        <v>0</v>
      </c>
      <c r="O27" s="105">
        <f t="shared" ref="O27:O49" si="2">SUM(L27:N27)</f>
        <v>0</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79</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96</v>
      </c>
      <c r="B29" s="78"/>
      <c r="C29" s="78"/>
      <c r="D29" s="100">
        <f>IF('Customer Info'!$C$32=TRUE,0,IF($C$15&lt;0,0,IF($C$15&gt;2000,2000,$C$15)))</f>
        <v>0</v>
      </c>
      <c r="E29" s="101" t="s">
        <v>41</v>
      </c>
      <c r="F29" s="102" t="s">
        <v>8</v>
      </c>
      <c r="G29" s="103"/>
      <c r="H29" s="103"/>
      <c r="I29" s="177">
        <f>'Rider Rates'!$B$8</f>
        <v>4.6499999999999996E-3</v>
      </c>
      <c r="J29" s="177">
        <f t="shared" si="0"/>
        <v>4.6499999999999996E-3</v>
      </c>
      <c r="K29" s="104" t="s">
        <v>42</v>
      </c>
      <c r="L29" s="105"/>
      <c r="M29" s="105"/>
      <c r="N29" s="105">
        <f t="shared" si="1"/>
        <v>0</v>
      </c>
      <c r="O29" s="105">
        <f t="shared" si="2"/>
        <v>0</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99" t="s">
        <v>97</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98</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10" t="s">
        <v>160</v>
      </c>
      <c r="B32" s="78"/>
      <c r="C32" s="78"/>
      <c r="D32" s="100">
        <f>IF($C$15&lt;0,0,$C$15)</f>
        <v>0</v>
      </c>
      <c r="E32" s="101" t="s">
        <v>41</v>
      </c>
      <c r="F32" s="102" t="s">
        <v>8</v>
      </c>
      <c r="G32" s="103"/>
      <c r="H32" s="103"/>
      <c r="I32" s="103">
        <f>'Rider Rates'!$B$16</f>
        <v>0</v>
      </c>
      <c r="J32" s="103">
        <f>SUM(G32:I32)</f>
        <v>0</v>
      </c>
      <c r="K32" s="104" t="s">
        <v>42</v>
      </c>
      <c r="L32" s="105"/>
      <c r="M32" s="105"/>
      <c r="N32" s="105">
        <f t="shared" si="1"/>
        <v>0</v>
      </c>
      <c r="O32" s="105">
        <f t="shared" si="2"/>
        <v>0</v>
      </c>
      <c r="P32" s="245">
        <f>'Rider Rates'!$D$16</f>
        <v>45197</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ht="13" x14ac:dyDescent="0.3">
      <c r="A33" s="210" t="s">
        <v>247</v>
      </c>
      <c r="B33" s="78"/>
      <c r="C33" s="78"/>
      <c r="D33" s="195">
        <f>$N$23</f>
        <v>9.4</v>
      </c>
      <c r="E33" s="101" t="s">
        <v>121</v>
      </c>
      <c r="F33" s="102" t="s">
        <v>8</v>
      </c>
      <c r="G33" s="103"/>
      <c r="H33" s="103"/>
      <c r="I33" s="178">
        <f>'Rider Rates'!$B$18+'Rider Rates'!$E$18</f>
        <v>0</v>
      </c>
      <c r="J33" s="178">
        <f>SUM(G33:I33)</f>
        <v>0</v>
      </c>
      <c r="K33" s="104"/>
      <c r="L33" s="105"/>
      <c r="M33" s="105"/>
      <c r="N33" s="105">
        <f>ROUND($D$33*'Rider Rates'!$B$18,2)+ROUND($D$33*'Rider Rates'!$E$18,2)</f>
        <v>0</v>
      </c>
      <c r="O33" s="105">
        <f t="shared" si="2"/>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10" t="s">
        <v>195</v>
      </c>
      <c r="B34" s="78"/>
      <c r="C34" s="78"/>
      <c r="D34" s="100">
        <f>C16+C17</f>
        <v>0</v>
      </c>
      <c r="E34" s="101" t="s">
        <v>41</v>
      </c>
      <c r="F34" s="102" t="s">
        <v>8</v>
      </c>
      <c r="G34" s="103">
        <f>'Rider Rates'!B22</f>
        <v>0.10589</v>
      </c>
      <c r="H34" s="103"/>
      <c r="I34" s="103"/>
      <c r="J34" s="237">
        <f>SUM(G34:H34)</f>
        <v>0.10589</v>
      </c>
      <c r="K34" s="104" t="s">
        <v>42</v>
      </c>
      <c r="L34" s="105">
        <f>ROUND(D34*G34,2)</f>
        <v>0</v>
      </c>
      <c r="M34" s="105"/>
      <c r="N34" s="105"/>
      <c r="O34" s="105">
        <f t="shared" si="2"/>
        <v>0</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10" t="s">
        <v>165</v>
      </c>
      <c r="B35" s="78"/>
      <c r="C35" s="78"/>
      <c r="D35" s="100">
        <f>C16</f>
        <v>0</v>
      </c>
      <c r="E35" s="101" t="s">
        <v>41</v>
      </c>
      <c r="F35" s="102" t="s">
        <v>8</v>
      </c>
      <c r="G35" s="103">
        <f>'Rider Rates'!B38</f>
        <v>2.7757E-2</v>
      </c>
      <c r="H35" s="103"/>
      <c r="I35" s="103"/>
      <c r="J35" s="237">
        <f>SUM(G35:H35)</f>
        <v>2.7757E-2</v>
      </c>
      <c r="K35" s="104" t="s">
        <v>42</v>
      </c>
      <c r="L35" s="105">
        <f>ROUND(D35*G35,2)</f>
        <v>0</v>
      </c>
      <c r="M35" s="105"/>
      <c r="N35" s="105"/>
      <c r="O35" s="105">
        <f t="shared" si="2"/>
        <v>0</v>
      </c>
      <c r="P35" s="245">
        <f>'Rider Rates'!$D$38</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229</v>
      </c>
      <c r="B36" s="78"/>
      <c r="C36" s="78"/>
      <c r="D36" s="100">
        <f>C17</f>
        <v>0</v>
      </c>
      <c r="E36" s="101" t="s">
        <v>41</v>
      </c>
      <c r="F36" s="249" t="s">
        <v>8</v>
      </c>
      <c r="G36" s="103">
        <f>'Rider Rates'!B39</f>
        <v>0</v>
      </c>
      <c r="H36" s="103"/>
      <c r="I36" s="103"/>
      <c r="J36" s="237">
        <f>SUM(G36:H36)</f>
        <v>0</v>
      </c>
      <c r="K36" s="104" t="s">
        <v>42</v>
      </c>
      <c r="L36" s="105">
        <f>ROUND(D36*G36,2)</f>
        <v>0</v>
      </c>
      <c r="M36" s="105"/>
      <c r="N36" s="105"/>
      <c r="O36" s="105">
        <f t="shared" si="2"/>
        <v>0</v>
      </c>
      <c r="P36" s="245">
        <f>'Rider Rates'!D39</f>
        <v>45078</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10" t="s">
        <v>202</v>
      </c>
      <c r="B37" s="78"/>
      <c r="C37" s="78"/>
      <c r="D37" s="100">
        <f>C16+C17</f>
        <v>0</v>
      </c>
      <c r="E37" s="101" t="s">
        <v>41</v>
      </c>
      <c r="F37" s="102" t="s">
        <v>8</v>
      </c>
      <c r="G37" s="103">
        <f>'Rider Rates'!$B$46</f>
        <v>-4.8640000000000001E-4</v>
      </c>
      <c r="H37" s="103"/>
      <c r="I37" s="103"/>
      <c r="J37" s="237">
        <f>SUM(G37:H37)</f>
        <v>-4.8640000000000001E-4</v>
      </c>
      <c r="K37" s="104" t="s">
        <v>42</v>
      </c>
      <c r="L37" s="105">
        <f>ROUND(D37*G37,2)</f>
        <v>0</v>
      </c>
      <c r="M37" s="105"/>
      <c r="N37" s="105"/>
      <c r="O37" s="105">
        <f t="shared" si="2"/>
        <v>0</v>
      </c>
      <c r="P37" s="245">
        <f>'Rider Rates'!$D$46</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241" t="s">
        <v>220</v>
      </c>
      <c r="B38" s="78"/>
      <c r="C38" s="78"/>
      <c r="D38" s="100">
        <f>IF($C$15&lt;0,0,IF($C$15&gt;833000,833000,$C$15))</f>
        <v>0</v>
      </c>
      <c r="E38" s="101" t="s">
        <v>41</v>
      </c>
      <c r="F38" s="102" t="s">
        <v>8</v>
      </c>
      <c r="G38" s="103"/>
      <c r="H38" s="103"/>
      <c r="I38" s="103">
        <f>'Rider Rates'!D50</f>
        <v>1.7826999999999999E-3</v>
      </c>
      <c r="J38" s="103">
        <f>SUM(G38:I38)</f>
        <v>1.7826999999999999E-3</v>
      </c>
      <c r="K38" s="104" t="s">
        <v>42</v>
      </c>
      <c r="L38" s="105"/>
      <c r="M38" s="105"/>
      <c r="N38" s="105">
        <f>D38*J38</f>
        <v>0</v>
      </c>
      <c r="O38" s="105">
        <f t="shared" si="2"/>
        <v>0</v>
      </c>
      <c r="P38" s="245">
        <f>'Rider Rates'!E50</f>
        <v>45292</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210" t="s">
        <v>198</v>
      </c>
      <c r="B39" s="78"/>
      <c r="C39" s="78"/>
      <c r="D39" s="100">
        <f>IF($C$15&lt;0,0,$C$15)</f>
        <v>0</v>
      </c>
      <c r="E39" s="113" t="s">
        <v>41</v>
      </c>
      <c r="F39" s="102" t="s">
        <v>8</v>
      </c>
      <c r="G39" s="103"/>
      <c r="H39" s="103">
        <f>'Rider Rates'!$B$57</f>
        <v>2.3467399999999999E-2</v>
      </c>
      <c r="I39" s="103"/>
      <c r="J39" s="103">
        <f>SUM(G39:I39)</f>
        <v>2.3467399999999999E-2</v>
      </c>
      <c r="K39" s="104" t="s">
        <v>42</v>
      </c>
      <c r="L39" s="105"/>
      <c r="M39" s="105">
        <f>ROUND(D39*H39,2)</f>
        <v>0</v>
      </c>
      <c r="N39" s="205"/>
      <c r="O39" s="105">
        <f t="shared" si="2"/>
        <v>0</v>
      </c>
      <c r="P39" s="245">
        <f>'Rider Rates'!$D$57</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99" t="s">
        <v>95</v>
      </c>
      <c r="B40" s="78"/>
      <c r="C40" s="78"/>
      <c r="D40" s="100">
        <f>IF('Customer Info'!C34=TRUE,0,IF($C$15&lt;0,0,$C$15))</f>
        <v>0</v>
      </c>
      <c r="E40" s="101" t="s">
        <v>41</v>
      </c>
      <c r="F40" s="102" t="s">
        <v>8</v>
      </c>
      <c r="G40" s="103"/>
      <c r="H40" s="103"/>
      <c r="I40" s="103">
        <f>'Rider Rates'!$B$69+'Rider Rates'!$C$69</f>
        <v>0</v>
      </c>
      <c r="J40" s="103">
        <f t="shared" si="0"/>
        <v>0</v>
      </c>
      <c r="K40" s="104" t="s">
        <v>42</v>
      </c>
      <c r="L40" s="105"/>
      <c r="M40" s="105"/>
      <c r="N40" s="105">
        <f>ROUND($D$40*'Rider Rates'!$B$69,2)+ROUND($D$40*'Rider Rates'!$C$69,2)</f>
        <v>0</v>
      </c>
      <c r="O40" s="105">
        <f t="shared" si="2"/>
        <v>0</v>
      </c>
      <c r="P40" s="245">
        <f>'Rider Rates'!$D$69</f>
        <v>44531</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99" t="s">
        <v>95</v>
      </c>
      <c r="B41" s="78"/>
      <c r="C41" s="78"/>
      <c r="D41" s="100"/>
      <c r="E41" s="101" t="s">
        <v>114</v>
      </c>
      <c r="F41" s="102"/>
      <c r="G41" s="103"/>
      <c r="H41" s="103"/>
      <c r="I41" s="196">
        <f>'Rider Rates'!$B$76</f>
        <v>0</v>
      </c>
      <c r="J41" s="196">
        <f>IF('Customer Info'!C34=TRUE,0,SUM(G41:I41))</f>
        <v>0</v>
      </c>
      <c r="K41" s="104"/>
      <c r="L41" s="105"/>
      <c r="M41" s="105"/>
      <c r="N41" s="105">
        <f>J41</f>
        <v>0</v>
      </c>
      <c r="O41" s="105">
        <f>SUM(L41:N41)</f>
        <v>0</v>
      </c>
      <c r="P41" s="245">
        <v>44531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ht="13" x14ac:dyDescent="0.3">
      <c r="A42" s="99" t="s">
        <v>80</v>
      </c>
      <c r="B42" s="78"/>
      <c r="C42" s="78"/>
      <c r="D42" s="195">
        <f>$N$23</f>
        <v>9.4</v>
      </c>
      <c r="E42" s="101" t="s">
        <v>121</v>
      </c>
      <c r="F42" s="102" t="s">
        <v>8</v>
      </c>
      <c r="G42" s="111"/>
      <c r="H42" s="112"/>
      <c r="I42" s="120">
        <f>'Rider Rates'!$B$84</f>
        <v>2.9347000000000002E-2</v>
      </c>
      <c r="J42" s="120">
        <f t="shared" si="0"/>
        <v>2.9347000000000002E-2</v>
      </c>
      <c r="K42" s="104"/>
      <c r="L42" s="105"/>
      <c r="M42" s="105"/>
      <c r="N42" s="105">
        <f>ROUND(D42*I42,2)</f>
        <v>0.28000000000000003</v>
      </c>
      <c r="O42" s="105">
        <f t="shared" si="2"/>
        <v>0.28000000000000003</v>
      </c>
      <c r="P42" s="245">
        <f>'Rider Rates'!$D$84</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99" t="s">
        <v>81</v>
      </c>
      <c r="B43" s="78"/>
      <c r="C43" s="78"/>
      <c r="D43" s="195">
        <f>$N$23</f>
        <v>9.4</v>
      </c>
      <c r="E43" s="101" t="s">
        <v>121</v>
      </c>
      <c r="F43" s="102" t="s">
        <v>8</v>
      </c>
      <c r="G43" s="114"/>
      <c r="H43" s="115"/>
      <c r="I43" s="120">
        <f>'Rider Rates'!$B$86</f>
        <v>6.6985699999999995E-2</v>
      </c>
      <c r="J43" s="120">
        <f t="shared" si="0"/>
        <v>6.6985699999999995E-2</v>
      </c>
      <c r="K43" s="104"/>
      <c r="L43" s="105"/>
      <c r="M43" s="105"/>
      <c r="N43" s="105">
        <f>ROUND(D43*I43,2)</f>
        <v>0.63</v>
      </c>
      <c r="O43" s="105">
        <f t="shared" si="2"/>
        <v>0.63</v>
      </c>
      <c r="P43" s="245">
        <f>'Rider Rates'!$D$86</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216</v>
      </c>
      <c r="B44" s="78"/>
      <c r="C44" s="78"/>
      <c r="D44" s="195"/>
      <c r="E44" s="113" t="s">
        <v>114</v>
      </c>
      <c r="F44" s="106"/>
      <c r="G44" s="114"/>
      <c r="H44" s="115"/>
      <c r="I44" s="196">
        <f>'Rider Rates'!$B$90</f>
        <v>15.91</v>
      </c>
      <c r="J44" s="196">
        <f t="shared" si="0"/>
        <v>15.91</v>
      </c>
      <c r="K44" s="104"/>
      <c r="L44" s="105"/>
      <c r="M44" s="105"/>
      <c r="N44" s="105">
        <f>I44</f>
        <v>15.91</v>
      </c>
      <c r="O44" s="105">
        <f t="shared" si="2"/>
        <v>15.91</v>
      </c>
      <c r="P44" s="245">
        <f>'Rider Rates'!$D$90</f>
        <v>45351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210" t="s">
        <v>249</v>
      </c>
      <c r="B45" s="78"/>
      <c r="C45" s="78"/>
      <c r="D45" s="100">
        <f>IF($C$15&lt;0,0,$C$15)</f>
        <v>0</v>
      </c>
      <c r="E45" s="101" t="s">
        <v>41</v>
      </c>
      <c r="F45" s="102" t="s">
        <v>8</v>
      </c>
      <c r="G45" s="103"/>
      <c r="H45" s="103"/>
      <c r="I45" s="103"/>
      <c r="J45" s="103">
        <f>'Rider Rates'!$B$94</f>
        <v>0</v>
      </c>
      <c r="K45" s="104" t="s">
        <v>42</v>
      </c>
      <c r="L45" s="105"/>
      <c r="M45" s="105"/>
      <c r="N45" s="105"/>
      <c r="O45" s="105">
        <f>ROUND($D45*('Rider Rates'!B$94),2)</f>
        <v>0</v>
      </c>
      <c r="P45" s="245">
        <f>'Rider Rates'!$D$94</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99" t="s">
        <v>157</v>
      </c>
      <c r="B46" s="78"/>
      <c r="C46" s="78"/>
      <c r="D46" s="195">
        <f>$N$23</f>
        <v>9.4</v>
      </c>
      <c r="E46" s="101" t="s">
        <v>121</v>
      </c>
      <c r="F46" s="102" t="s">
        <v>8</v>
      </c>
      <c r="G46" s="114"/>
      <c r="H46" s="115"/>
      <c r="I46" s="120">
        <f>'Rider Rates'!$B$104</f>
        <v>0.21398439999999999</v>
      </c>
      <c r="J46" s="120">
        <f t="shared" si="0"/>
        <v>0.21398439999999999</v>
      </c>
      <c r="K46" s="104"/>
      <c r="L46" s="105"/>
      <c r="M46" s="105"/>
      <c r="N46" s="105">
        <f>ROUND(D46*I46,2)</f>
        <v>2.0099999999999998</v>
      </c>
      <c r="O46" s="105">
        <f t="shared" si="2"/>
        <v>2.0099999999999998</v>
      </c>
      <c r="P46" s="245">
        <f>'Rider Rates'!$D$104</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219</v>
      </c>
      <c r="B47" s="78"/>
      <c r="C47" s="78"/>
      <c r="D47" s="195"/>
      <c r="E47" s="113" t="s">
        <v>114</v>
      </c>
      <c r="F47" s="106"/>
      <c r="G47" s="114"/>
      <c r="H47" s="115"/>
      <c r="I47" s="196">
        <f>'Rider Rates'!$B$108</f>
        <v>0</v>
      </c>
      <c r="J47" s="196">
        <f t="shared" si="0"/>
        <v>0</v>
      </c>
      <c r="K47" s="104"/>
      <c r="L47" s="105"/>
      <c r="M47" s="105"/>
      <c r="N47" s="105">
        <f>I47</f>
        <v>0</v>
      </c>
      <c r="O47" s="105">
        <f t="shared" si="2"/>
        <v>0</v>
      </c>
      <c r="P47" s="245">
        <f>'Rider Rates'!$D$108</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ht="13" x14ac:dyDescent="0.3">
      <c r="A48" s="210" t="s">
        <v>227</v>
      </c>
      <c r="B48" s="78"/>
      <c r="C48" s="78"/>
      <c r="D48" s="195"/>
      <c r="E48" s="113" t="s">
        <v>114</v>
      </c>
      <c r="F48" s="106"/>
      <c r="G48" s="114"/>
      <c r="H48" s="115"/>
      <c r="I48" s="260">
        <f>'Rider Rates'!B121</f>
        <v>5.83</v>
      </c>
      <c r="J48" s="196">
        <f t="shared" si="0"/>
        <v>5.83</v>
      </c>
      <c r="K48" s="104"/>
      <c r="L48" s="105"/>
      <c r="M48" s="105"/>
      <c r="N48" s="262">
        <f>I48</f>
        <v>5.83</v>
      </c>
      <c r="O48" s="105">
        <f t="shared" si="2"/>
        <v>5.83</v>
      </c>
      <c r="P48" s="245">
        <f>'Rider Rates'!D121</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99" t="s">
        <v>158</v>
      </c>
      <c r="B49" s="78"/>
      <c r="C49" s="78"/>
      <c r="D49" s="100">
        <f>C16+C17</f>
        <v>0</v>
      </c>
      <c r="E49" s="101" t="s">
        <v>41</v>
      </c>
      <c r="F49" s="102" t="s">
        <v>8</v>
      </c>
      <c r="G49" s="103">
        <f>'Rider Rates'!$B$111</f>
        <v>3.8972999999999998E-3</v>
      </c>
      <c r="H49" s="103"/>
      <c r="I49" s="120"/>
      <c r="J49" s="237">
        <f>SUM(G49:H49)</f>
        <v>3.8972999999999998E-3</v>
      </c>
      <c r="K49" s="104" t="s">
        <v>42</v>
      </c>
      <c r="L49" s="105">
        <f>ROUND(D49*G49,2)</f>
        <v>0</v>
      </c>
      <c r="M49" s="105"/>
      <c r="N49" s="105"/>
      <c r="O49" s="105">
        <f t="shared" si="2"/>
        <v>0</v>
      </c>
      <c r="P49" s="245">
        <f>'Rider Rates'!$D$111</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210" t="s">
        <v>218</v>
      </c>
      <c r="B50" s="78"/>
      <c r="C50" s="78"/>
      <c r="D50" s="100">
        <f>IF($C$15&lt;1,0,$C$15)</f>
        <v>0</v>
      </c>
      <c r="E50" s="101" t="s">
        <v>41</v>
      </c>
      <c r="F50" s="249" t="s">
        <v>8</v>
      </c>
      <c r="G50" s="165"/>
      <c r="H50" s="165"/>
      <c r="I50" s="251">
        <f>'Rider Rates'!B117</f>
        <v>-6.2E-4</v>
      </c>
      <c r="J50" s="251">
        <f>SUM(G50:I50)</f>
        <v>-6.2E-4</v>
      </c>
      <c r="K50" s="104" t="s">
        <v>42</v>
      </c>
      <c r="L50" s="105"/>
      <c r="M50" s="105"/>
      <c r="N50" s="105">
        <f>D50*J50</f>
        <v>0</v>
      </c>
      <c r="O50" s="105">
        <f>SUM(L50:N50)</f>
        <v>0</v>
      </c>
      <c r="P50" s="245">
        <f>'Rider Rates'!D117</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5">
      <c r="A51" s="78" t="s">
        <v>243</v>
      </c>
      <c r="B51" s="78"/>
      <c r="C51" s="78"/>
      <c r="D51" s="100">
        <f>IF(C15&lt;0,0,IF(C15&gt;833000,833000,C15))</f>
        <v>0</v>
      </c>
      <c r="E51" s="101" t="s">
        <v>41</v>
      </c>
      <c r="F51" s="102" t="s">
        <v>8</v>
      </c>
      <c r="G51" s="267"/>
      <c r="H51" s="267"/>
      <c r="I51" s="267">
        <f>'Rider Rates'!$B$125</f>
        <v>2.9050000000000001E-4</v>
      </c>
      <c r="J51" s="267">
        <f>SUM(G51:I51)</f>
        <v>2.9050000000000001E-4</v>
      </c>
      <c r="K51" s="104" t="s">
        <v>42</v>
      </c>
      <c r="L51" s="268"/>
      <c r="M51" s="268"/>
      <c r="N51" s="268">
        <f>IF(D51*J51&gt;'Rider Rates'!$C$125,'Rider Rates'!$C$125,D51*J51)</f>
        <v>0</v>
      </c>
      <c r="O51" s="268">
        <f>SUM(L51:N51)</f>
        <v>0</v>
      </c>
      <c r="P51" s="266">
        <f>'Rider Rates'!$E$125</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5">
      <c r="A52" s="78" t="s">
        <v>244</v>
      </c>
      <c r="B52" s="78"/>
      <c r="C52" s="78"/>
      <c r="D52" s="123">
        <f>IF(C15&gt;833000,C15-833000,0)</f>
        <v>0</v>
      </c>
      <c r="E52" s="101" t="s">
        <v>41</v>
      </c>
      <c r="F52" s="102" t="s">
        <v>8</v>
      </c>
      <c r="G52" s="267"/>
      <c r="H52" s="267"/>
      <c r="I52" s="267">
        <f>'Rider Rates'!$B$126</f>
        <v>0</v>
      </c>
      <c r="J52" s="267">
        <f>SUM(G52:I52)</f>
        <v>0</v>
      </c>
      <c r="K52" s="104" t="s">
        <v>42</v>
      </c>
      <c r="L52" s="268"/>
      <c r="M52" s="268"/>
      <c r="N52" s="268">
        <f>D52*J52</f>
        <v>0</v>
      </c>
      <c r="O52" s="268">
        <f>SUM(L52:N52)</f>
        <v>0</v>
      </c>
      <c r="P52" s="266">
        <f>'Rider Rates'!$E$126</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5">
      <c r="A53" s="241" t="s">
        <v>252</v>
      </c>
      <c r="B53" s="78"/>
      <c r="C53" s="78"/>
      <c r="D53" s="100">
        <f>C15</f>
        <v>0</v>
      </c>
      <c r="E53" s="101" t="s">
        <v>41</v>
      </c>
      <c r="F53" s="249" t="s">
        <v>8</v>
      </c>
      <c r="G53" s="103"/>
      <c r="H53" s="103"/>
      <c r="I53" s="103">
        <f>'Rider Rates'!$B$130</f>
        <v>0</v>
      </c>
      <c r="J53" s="237">
        <f>SUM(G53:I53)</f>
        <v>0</v>
      </c>
      <c r="K53" s="104" t="s">
        <v>42</v>
      </c>
      <c r="L53" s="105"/>
      <c r="M53" s="105"/>
      <c r="N53" s="105">
        <f>D53*J53</f>
        <v>0</v>
      </c>
      <c r="O53" s="105">
        <f>SUM(L53:N53)</f>
        <v>0</v>
      </c>
      <c r="P53" s="245">
        <f>'Rider Rates'!$D$130</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5">
      <c r="A54" s="241" t="s">
        <v>251</v>
      </c>
      <c r="B54" s="78"/>
      <c r="C54" s="78"/>
      <c r="D54" s="100"/>
      <c r="E54" s="101" t="s">
        <v>114</v>
      </c>
      <c r="F54" s="102" t="s">
        <v>8</v>
      </c>
      <c r="G54" s="265"/>
      <c r="H54" s="265"/>
      <c r="I54" s="265">
        <f>'Rider Rates'!$B$137</f>
        <v>0</v>
      </c>
      <c r="J54" s="265">
        <f>SUM(G54:I54)</f>
        <v>0</v>
      </c>
      <c r="K54" s="104"/>
      <c r="L54" s="209"/>
      <c r="M54" s="209"/>
      <c r="N54" s="209">
        <f>J54</f>
        <v>0</v>
      </c>
      <c r="O54" s="209">
        <f>SUM(L54:N54)</f>
        <v>0</v>
      </c>
      <c r="P54" s="266">
        <f>'Rider Rates'!$D$137</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5">
      <c r="A55" s="241" t="s">
        <v>253</v>
      </c>
      <c r="B55" s="78"/>
      <c r="C55" s="78"/>
      <c r="D55" s="100"/>
      <c r="E55" s="101"/>
      <c r="F55" s="102"/>
      <c r="G55" s="265"/>
      <c r="H55" s="265"/>
      <c r="I55" s="265"/>
      <c r="J55" s="265"/>
      <c r="K55" s="104"/>
      <c r="L55" s="209"/>
      <c r="M55" s="209"/>
      <c r="N55" s="209"/>
      <c r="O55" s="209"/>
      <c r="P55" s="266"/>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ht="13" x14ac:dyDescent="0.3">
      <c r="A56" s="179" t="s">
        <v>70</v>
      </c>
      <c r="B56" s="148"/>
      <c r="C56" s="148"/>
      <c r="D56" s="180"/>
      <c r="E56" s="181"/>
      <c r="F56" s="182"/>
      <c r="G56" s="182"/>
      <c r="H56" s="182"/>
      <c r="I56" s="182"/>
      <c r="J56" s="182"/>
      <c r="K56" s="183"/>
      <c r="L56" s="169">
        <f>SUM(L27:L55)</f>
        <v>0</v>
      </c>
      <c r="M56" s="169">
        <f>SUM(M27:M55)</f>
        <v>0</v>
      </c>
      <c r="N56" s="169">
        <f>SUM(N27:N55)</f>
        <v>24.659999999999997</v>
      </c>
      <c r="O56" s="169">
        <f>SUM(O27:O55)</f>
        <v>24.659999999999997</v>
      </c>
      <c r="P56" s="18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5">
      <c r="A57" s="78"/>
      <c r="B57" s="78"/>
      <c r="C57" s="78"/>
      <c r="D57" s="100"/>
      <c r="E57" s="113"/>
      <c r="F57" s="106"/>
      <c r="G57" s="106"/>
      <c r="H57" s="106"/>
      <c r="I57" s="106"/>
      <c r="J57" s="107"/>
      <c r="K57" s="104"/>
      <c r="L57" s="106"/>
      <c r="M57" s="106"/>
      <c r="N57" s="106"/>
      <c r="O57" s="106"/>
      <c r="P57" s="164"/>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185" t="s">
        <v>93</v>
      </c>
      <c r="B58" s="170"/>
      <c r="C58" s="170"/>
      <c r="D58" s="170"/>
      <c r="E58" s="170"/>
      <c r="F58" s="170"/>
      <c r="G58" s="170"/>
      <c r="H58" s="170"/>
      <c r="I58" s="170"/>
      <c r="J58" s="170"/>
      <c r="K58" s="170"/>
      <c r="L58" s="186">
        <f>L23+L56</f>
        <v>0</v>
      </c>
      <c r="M58" s="186">
        <f>M23+M56</f>
        <v>0</v>
      </c>
      <c r="N58" s="186">
        <f>N23+N56</f>
        <v>34.059999999999995</v>
      </c>
      <c r="O58" s="187">
        <f>O23+O56</f>
        <v>34.059999999999995</v>
      </c>
      <c r="P58" s="187"/>
      <c r="Q58" s="106"/>
      <c r="R58" s="188"/>
      <c r="S58" s="108"/>
      <c r="T58" s="109"/>
      <c r="U58" s="78"/>
      <c r="V58" s="10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3" x14ac:dyDescent="0.3">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ht="13" x14ac:dyDescent="0.3">
      <c r="A60" s="78"/>
      <c r="B60" s="78"/>
      <c r="C60" s="78"/>
      <c r="D60" s="78"/>
      <c r="E60" s="78"/>
      <c r="F60" s="78"/>
      <c r="G60" s="78"/>
      <c r="H60" s="78"/>
      <c r="I60" s="78"/>
      <c r="J60" s="78"/>
      <c r="K60" s="78"/>
      <c r="L60" s="78"/>
      <c r="M60" s="78"/>
      <c r="N60" s="151"/>
      <c r="O60" s="151"/>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ht="13" x14ac:dyDescent="0.3">
      <c r="A61" s="166" t="s">
        <v>92</v>
      </c>
      <c r="B61" s="78"/>
      <c r="C61" s="78"/>
      <c r="D61" s="78"/>
      <c r="E61" s="78"/>
      <c r="F61" s="78"/>
      <c r="G61" s="78"/>
      <c r="H61" s="78"/>
      <c r="I61" s="78"/>
      <c r="J61" s="78"/>
      <c r="K61" s="78"/>
      <c r="L61" s="78"/>
      <c r="M61" s="78"/>
      <c r="N61" s="78"/>
      <c r="O61" s="109">
        <f>O21+O56</f>
        <v>34.059999999999995</v>
      </c>
      <c r="P61" s="151"/>
      <c r="Q61" s="166"/>
      <c r="R61" s="166"/>
      <c r="S61" s="166"/>
      <c r="T61" s="189"/>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ht="13" x14ac:dyDescent="0.3">
      <c r="A62" s="166" t="s">
        <v>15</v>
      </c>
      <c r="B62" s="166"/>
      <c r="C62" s="166"/>
      <c r="D62" s="166"/>
      <c r="E62" s="166"/>
      <c r="F62" s="166"/>
      <c r="G62" s="166"/>
      <c r="H62" s="166"/>
      <c r="I62" s="78"/>
      <c r="J62" s="78"/>
      <c r="K62" s="78"/>
      <c r="L62" s="78"/>
      <c r="M62" s="78"/>
      <c r="N62" s="151"/>
      <c r="O62" s="151"/>
      <c r="P62" s="151"/>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ht="13" x14ac:dyDescent="0.3">
      <c r="A63" s="148" t="s">
        <v>116</v>
      </c>
      <c r="B63" s="151"/>
      <c r="C63" s="151"/>
      <c r="D63" s="151"/>
      <c r="E63" s="151"/>
      <c r="F63" s="151"/>
      <c r="G63" s="151"/>
      <c r="H63" s="151"/>
      <c r="I63" s="151"/>
      <c r="J63" s="151"/>
      <c r="K63" s="151"/>
      <c r="L63" s="151"/>
      <c r="M63" s="151"/>
      <c r="N63" s="151"/>
      <c r="O63" s="190">
        <f>IF($D$17&lt;0,O58,IF(O58&gt;O61,O58,O61))</f>
        <v>34.059999999999995</v>
      </c>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36" ht="15" customHeight="1" x14ac:dyDescent="0.3">
      <c r="A64" s="148"/>
      <c r="B64" s="151"/>
      <c r="C64" s="151"/>
      <c r="D64" s="151"/>
      <c r="E64" s="151"/>
      <c r="F64" s="151"/>
      <c r="G64" s="151"/>
      <c r="H64" s="151"/>
      <c r="I64" s="151"/>
      <c r="J64" s="151"/>
      <c r="K64" s="151"/>
      <c r="L64" s="151"/>
      <c r="M64" s="151"/>
      <c r="N64" s="151"/>
      <c r="O64" s="190"/>
      <c r="P64" s="160"/>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row>
    <row r="65" spans="1:222" ht="13" x14ac:dyDescent="0.3">
      <c r="A65" s="148"/>
      <c r="B65" s="166"/>
      <c r="C65" s="166"/>
      <c r="D65" s="166"/>
      <c r="E65" s="166"/>
      <c r="F65" s="166"/>
      <c r="G65" s="166"/>
      <c r="H65" s="166"/>
      <c r="I65" s="166" t="s">
        <v>120</v>
      </c>
      <c r="J65" s="166"/>
      <c r="K65" s="166"/>
      <c r="L65" s="191"/>
      <c r="M65" s="191"/>
      <c r="N65" s="191"/>
      <c r="O65" s="191">
        <f>ROUND(IF($C$15&lt;1,0,O58/($C$15*100)*10000),2)</f>
        <v>0</v>
      </c>
      <c r="P65" s="37" t="s">
        <v>86</v>
      </c>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HE65" s="78"/>
      <c r="HF65" s="78"/>
      <c r="HG65" s="78"/>
      <c r="HH65" s="78"/>
      <c r="HI65" s="78"/>
      <c r="HJ65" s="78"/>
      <c r="HK65" s="78"/>
      <c r="HL65" s="78"/>
      <c r="HM65" s="78"/>
      <c r="HN65" s="78"/>
    </row>
    <row r="66" spans="1:222" ht="13" x14ac:dyDescent="0.3">
      <c r="B66" s="78"/>
      <c r="C66" s="78"/>
      <c r="D66" s="78"/>
      <c r="E66" s="78"/>
      <c r="F66" s="78"/>
      <c r="G66" s="78"/>
      <c r="H66" s="192"/>
      <c r="I66" s="242" t="s">
        <v>199</v>
      </c>
      <c r="J66" s="78"/>
      <c r="K66" s="78"/>
      <c r="L66" s="78"/>
      <c r="M66" s="78"/>
      <c r="N66" s="78"/>
      <c r="O66" s="243">
        <f>ROUND(IF($C$15&lt;1,0,(L58)/($C$15*100)*10000),2)</f>
        <v>0</v>
      </c>
      <c r="P66" s="25" t="s">
        <v>86</v>
      </c>
      <c r="Q66" s="78"/>
      <c r="R66" s="78"/>
      <c r="S66" s="78"/>
      <c r="T66" s="78"/>
      <c r="U66" s="78"/>
      <c r="V66" s="78"/>
      <c r="W66" s="78"/>
      <c r="X66" s="78"/>
      <c r="Y66" s="78"/>
      <c r="Z66" s="78"/>
      <c r="AA66" s="78"/>
      <c r="AB66" s="78"/>
      <c r="AC66" s="78"/>
      <c r="AD66" s="78"/>
      <c r="AE66" s="78"/>
      <c r="AF66" s="78"/>
      <c r="AG66" s="78"/>
      <c r="AH66" s="78"/>
      <c r="AI66" s="78"/>
      <c r="AJ66" s="78"/>
      <c r="AK66" s="78"/>
    </row>
  </sheetData>
  <sheetProtection algorithmName="SHA-512" hashValue="i9WuypYmza54siqj+pZJEa9vR4cAeykzrUghQSBwNxeY47hZp/xGrp+4GGTf+resZUO9CISYpCgm7v/uu6PcnQ==" saltValue="xJxm7qBUh9ECihSoCTZMjA=="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Button 1">
              <controlPr defaultSize="0" print="0" autoFill="0" autoPict="0" macro="[0]!Info">
                <anchor moveWithCells="1">
                  <from>
                    <xdr:col>0</xdr:col>
                    <xdr:colOff>38100</xdr:colOff>
                    <xdr:row>0</xdr:row>
                    <xdr:rowOff>31750</xdr:rowOff>
                  </from>
                  <to>
                    <xdr:col>0</xdr:col>
                    <xdr:colOff>381000</xdr:colOff>
                    <xdr:row>0</xdr:row>
                    <xdr:rowOff>165100</xdr:rowOff>
                  </to>
                </anchor>
              </controlPr>
            </control>
          </mc:Choice>
        </mc:AlternateContent>
        <mc:AlternateContent xmlns:mc="http://schemas.openxmlformats.org/markup-compatibility/2006">
          <mc:Choice Requires="x14">
            <control shapeId="75778" r:id="rId5" name="Button 2">
              <controlPr defaultSize="0" print="0" autoFill="0" autoPict="0" macro="[0]!Info">
                <anchor moveWithCells="1">
                  <from>
                    <xdr:col>15</xdr:col>
                    <xdr:colOff>190500</xdr:colOff>
                    <xdr:row>73</xdr:row>
                    <xdr:rowOff>50800</xdr:rowOff>
                  </from>
                  <to>
                    <xdr:col>15</xdr:col>
                    <xdr:colOff>546100</xdr:colOff>
                    <xdr:row>74</xdr:row>
                    <xdr:rowOff>107950</xdr:rowOff>
                  </to>
                </anchor>
              </controlPr>
            </control>
          </mc:Choice>
        </mc:AlternateContent>
        <mc:AlternateContent xmlns:mc="http://schemas.openxmlformats.org/markup-compatibility/2006">
          <mc:Choice Requires="x14">
            <control shapeId="75779" r:id="rId6" name="Button 3">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75780" r:id="rId7" name="Button 4">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75781" r:id="rId8" name="Button 5">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75782" r:id="rId9" name="Button 6">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4"/>
  <dimension ref="A1:HM71"/>
  <sheetViews>
    <sheetView showGridLines="0" topLeftCell="A36" zoomScale="80" zoomScaleNormal="80" workbookViewId="0">
      <selection activeCell="C9" sqref="C9"/>
    </sheetView>
  </sheetViews>
  <sheetFormatPr defaultRowHeight="12.5" x14ac:dyDescent="0.25"/>
  <cols>
    <col min="1" max="1" width="37.54296875" customWidth="1"/>
    <col min="2" max="2" width="2.1796875" customWidth="1"/>
    <col min="3" max="3" width="14.54296875" customWidth="1"/>
    <col min="4" max="4" width="16.26953125" bestFit="1" customWidth="1"/>
    <col min="5" max="5" width="9.81640625" customWidth="1"/>
    <col min="6" max="6" width="5.54296875" customWidth="1"/>
    <col min="7" max="8" width="13.26953125" customWidth="1"/>
    <col min="9" max="9" width="14.54296875" customWidth="1"/>
    <col min="10" max="10" width="13.26953125" customWidth="1"/>
    <col min="11" max="11" width="7" customWidth="1"/>
    <col min="12" max="12" width="15" customWidth="1"/>
    <col min="13" max="13" width="16" customWidth="1"/>
    <col min="14" max="14" width="15.1796875" bestFit="1" customWidth="1"/>
    <col min="15" max="15" width="17.26953125" bestFit="1" customWidth="1"/>
    <col min="16" max="16" width="12.81640625" bestFit="1" customWidth="1"/>
    <col min="18" max="18" width="13"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row>
    <row r="2" spans="1:30" ht="20" x14ac:dyDescent="0.4">
      <c r="A2" s="436" t="s">
        <v>122</v>
      </c>
      <c r="B2" s="436"/>
      <c r="C2" s="436"/>
      <c r="D2" s="436"/>
      <c r="E2" s="436"/>
      <c r="F2" s="436"/>
      <c r="G2" s="436"/>
      <c r="H2" s="436"/>
      <c r="I2" s="436"/>
      <c r="J2" s="436"/>
      <c r="K2" s="436"/>
      <c r="L2" s="436"/>
      <c r="M2" s="436"/>
      <c r="N2" s="436"/>
      <c r="O2" s="436"/>
      <c r="P2" s="436"/>
    </row>
    <row r="3" spans="1:30" ht="18" x14ac:dyDescent="0.4">
      <c r="A3" s="452" t="s">
        <v>265</v>
      </c>
      <c r="B3" s="452"/>
      <c r="C3" s="452"/>
      <c r="D3" s="452"/>
      <c r="E3" s="452"/>
      <c r="F3" s="452"/>
      <c r="G3" s="452"/>
      <c r="H3" s="452"/>
      <c r="I3" s="452"/>
      <c r="J3" s="452"/>
      <c r="K3" s="452"/>
      <c r="L3" s="452"/>
      <c r="M3" s="452"/>
      <c r="N3" s="452"/>
      <c r="O3" s="452"/>
      <c r="P3" s="452"/>
    </row>
    <row r="4" spans="1:30"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30" ht="15.5" x14ac:dyDescent="0.35">
      <c r="A5" s="76">
        <f ca="1">TODAY()</f>
        <v>45378</v>
      </c>
      <c r="B5" s="75"/>
      <c r="C5" s="75"/>
      <c r="D5" s="75"/>
      <c r="E5" s="75"/>
      <c r="F5" s="75"/>
      <c r="G5" s="75"/>
      <c r="H5" s="75"/>
      <c r="I5" s="75"/>
      <c r="J5" s="75"/>
      <c r="K5" s="75"/>
      <c r="L5" s="75"/>
      <c r="M5" s="75"/>
      <c r="N5" s="75"/>
      <c r="O5" s="75"/>
      <c r="P5" s="75"/>
    </row>
    <row r="6" spans="1:30" x14ac:dyDescent="0.25">
      <c r="A6" s="454" t="s">
        <v>262</v>
      </c>
      <c r="B6" s="454"/>
      <c r="C6" s="454"/>
      <c r="D6" s="454"/>
      <c r="E6" s="454"/>
      <c r="F6" s="454"/>
      <c r="G6" s="454"/>
      <c r="H6" s="454"/>
      <c r="I6" s="454"/>
      <c r="J6" s="454"/>
      <c r="K6" s="454"/>
      <c r="L6" s="454"/>
      <c r="M6" s="454"/>
      <c r="N6" s="454"/>
      <c r="O6" s="454"/>
      <c r="P6" s="454"/>
      <c r="Q6" s="454"/>
    </row>
    <row r="7" spans="1:30" x14ac:dyDescent="0.25">
      <c r="A7" s="435" t="s">
        <v>15</v>
      </c>
      <c r="B7" s="435"/>
      <c r="C7" s="435"/>
      <c r="D7" s="435"/>
      <c r="E7" s="435"/>
      <c r="F7" s="435"/>
      <c r="G7" s="435"/>
      <c r="H7" s="435"/>
      <c r="I7" s="435"/>
      <c r="J7" s="435"/>
      <c r="K7" s="435"/>
    </row>
    <row r="8" spans="1:30" x14ac:dyDescent="0.25">
      <c r="C8" s="18"/>
      <c r="D8" s="18"/>
      <c r="E8" s="18"/>
      <c r="F8" s="18"/>
      <c r="G8" s="18"/>
      <c r="H8" s="18"/>
      <c r="I8" s="18"/>
      <c r="J8" s="18"/>
      <c r="K8" s="18"/>
    </row>
    <row r="9" spans="1:30" ht="15.5" x14ac:dyDescent="0.35">
      <c r="A9" s="23" t="s">
        <v>2</v>
      </c>
      <c r="B9" s="24"/>
      <c r="C9" s="25">
        <f>'Customer Info'!B7</f>
        <v>0</v>
      </c>
      <c r="I9" s="26"/>
    </row>
    <row r="10" spans="1:30" ht="15.5" x14ac:dyDescent="0.35">
      <c r="A10" s="27" t="s">
        <v>26</v>
      </c>
      <c r="B10" s="24"/>
      <c r="C10" s="25">
        <f>'Customer Info'!B8</f>
        <v>0</v>
      </c>
    </row>
    <row r="11" spans="1:30" ht="13" x14ac:dyDescent="0.3">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ht="13" x14ac:dyDescent="0.3">
      <c r="A12" s="446"/>
      <c r="B12" s="446"/>
      <c r="C12" s="446"/>
      <c r="D12" s="446"/>
      <c r="E12" s="446"/>
      <c r="F12" s="446"/>
      <c r="G12" s="446"/>
      <c r="H12" s="446"/>
      <c r="I12" s="446"/>
      <c r="J12" s="94"/>
      <c r="K12" s="94"/>
      <c r="L12" s="94"/>
      <c r="M12" s="94"/>
      <c r="N12" s="94"/>
      <c r="O12" s="94"/>
      <c r="P12" s="94"/>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ht="13" x14ac:dyDescent="0.3">
      <c r="A13" s="97" t="s">
        <v>27</v>
      </c>
      <c r="B13" s="18"/>
      <c r="C13" s="18"/>
      <c r="D13" s="18"/>
      <c r="E13" s="18"/>
      <c r="F13" s="18"/>
      <c r="G13" s="18"/>
      <c r="H13" s="18"/>
      <c r="I13" s="18"/>
      <c r="R13" s="3" t="s">
        <v>196</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5">
      <c r="A14" s="18"/>
      <c r="B14" s="18"/>
      <c r="C14" s="18"/>
      <c r="D14" s="18"/>
      <c r="E14" s="18"/>
      <c r="F14" s="18"/>
      <c r="G14" s="18"/>
      <c r="H14" s="18"/>
      <c r="I14" s="18"/>
      <c r="R14" s="78"/>
      <c r="S14" s="221"/>
      <c r="T14" s="221"/>
      <c r="U14" s="221"/>
      <c r="V14" s="221"/>
      <c r="W14" s="221"/>
      <c r="X14" s="220"/>
      <c r="Y14" s="220"/>
      <c r="Z14" s="220"/>
      <c r="AA14" s="220"/>
      <c r="AB14" s="221"/>
      <c r="AC14" s="221"/>
      <c r="AD14" s="221"/>
    </row>
    <row r="15" spans="1:30" x14ac:dyDescent="0.25">
      <c r="A15" s="31" t="s">
        <v>43</v>
      </c>
      <c r="B15" s="31"/>
      <c r="C15" s="32">
        <f>IF('Customer Info'!B21+'Customer Info'!B22-'Customer Info'!B23&lt;0,0,'Customer Info'!B21+'Customer Info'!B22-'Customer Info'!B23)</f>
        <v>0</v>
      </c>
      <c r="D15" s="31" t="s">
        <v>41</v>
      </c>
      <c r="E15" s="31"/>
      <c r="F15" s="33"/>
      <c r="G15" s="31"/>
      <c r="H15" s="31"/>
      <c r="I15" s="31"/>
      <c r="R15" s="78"/>
      <c r="S15" s="193"/>
      <c r="T15" s="193"/>
      <c r="U15" s="193"/>
      <c r="V15" s="193"/>
      <c r="W15" s="193"/>
      <c r="X15" s="202"/>
      <c r="Y15" s="202"/>
      <c r="Z15" s="202"/>
      <c r="AA15" s="202"/>
      <c r="AB15" s="193"/>
      <c r="AC15" s="193"/>
      <c r="AD15" s="193"/>
    </row>
    <row r="16" spans="1:30" ht="13" x14ac:dyDescent="0.3">
      <c r="A16" s="31"/>
      <c r="B16" s="31"/>
      <c r="C16" s="33"/>
      <c r="D16" s="33"/>
      <c r="E16" s="33"/>
      <c r="F16" s="33"/>
      <c r="G16" s="23"/>
      <c r="H16" s="31"/>
      <c r="I16" s="31"/>
      <c r="R16" s="78"/>
      <c r="S16" s="193"/>
      <c r="T16" s="193"/>
      <c r="U16" s="193"/>
      <c r="V16" s="193"/>
      <c r="W16" s="193"/>
      <c r="X16" s="193"/>
      <c r="Y16" s="193"/>
      <c r="Z16" s="193"/>
      <c r="AA16" s="193"/>
      <c r="AB16" s="193"/>
      <c r="AC16" s="193"/>
      <c r="AD16" s="193"/>
    </row>
    <row r="17" spans="1:221" ht="13" x14ac:dyDescent="0.3">
      <c r="A17" s="28" t="s">
        <v>75</v>
      </c>
      <c r="B17" s="22"/>
      <c r="C17" s="22"/>
      <c r="D17" s="22"/>
      <c r="E17" s="22"/>
      <c r="F17" s="22"/>
      <c r="G17" s="447" t="s">
        <v>67</v>
      </c>
      <c r="H17" s="448"/>
      <c r="I17" s="448"/>
      <c r="J17" s="449"/>
      <c r="K17" s="22"/>
      <c r="L17" s="450" t="s">
        <v>68</v>
      </c>
      <c r="M17" s="450"/>
      <c r="N17" s="450"/>
      <c r="O17" s="450"/>
    </row>
    <row r="18" spans="1:221" ht="13" x14ac:dyDescent="0.3">
      <c r="A18" s="18"/>
      <c r="B18" s="18"/>
      <c r="C18" s="18"/>
      <c r="D18" s="18"/>
      <c r="E18" s="18"/>
      <c r="F18" s="18"/>
      <c r="G18" s="8" t="s">
        <v>64</v>
      </c>
      <c r="H18" s="8" t="s">
        <v>65</v>
      </c>
      <c r="I18" s="8" t="s">
        <v>66</v>
      </c>
      <c r="J18" s="112" t="s">
        <v>34</v>
      </c>
      <c r="K18" s="18"/>
      <c r="L18" s="131" t="s">
        <v>64</v>
      </c>
      <c r="M18" s="131" t="s">
        <v>65</v>
      </c>
      <c r="N18" s="131" t="s">
        <v>66</v>
      </c>
      <c r="O18" s="132" t="s">
        <v>34</v>
      </c>
      <c r="P18" s="43" t="s">
        <v>56</v>
      </c>
    </row>
    <row r="19" spans="1:221" x14ac:dyDescent="0.25">
      <c r="A19" t="s">
        <v>32</v>
      </c>
      <c r="G19" s="83"/>
      <c r="H19" s="83"/>
      <c r="I19" s="125">
        <v>9.4</v>
      </c>
      <c r="J19" s="125">
        <f>SUM(G19:I19)</f>
        <v>9.4</v>
      </c>
      <c r="L19" s="125"/>
      <c r="M19" s="125"/>
      <c r="N19" s="125">
        <f>I19</f>
        <v>9.4</v>
      </c>
      <c r="O19" s="105">
        <f>+SUM(L19:N19)</f>
        <v>9.4</v>
      </c>
      <c r="P19" s="245">
        <v>44531</v>
      </c>
    </row>
    <row r="20" spans="1:221" x14ac:dyDescent="0.25">
      <c r="A20" t="s">
        <v>305</v>
      </c>
      <c r="D20" s="1">
        <f>C15</f>
        <v>0</v>
      </c>
      <c r="E20" s="35" t="s">
        <v>41</v>
      </c>
      <c r="F20" s="4" t="s">
        <v>8</v>
      </c>
      <c r="G20" s="126"/>
      <c r="H20" s="127"/>
      <c r="I20" s="127">
        <v>2.05802E-2</v>
      </c>
      <c r="J20" s="127">
        <f>SUM(G20:I20)</f>
        <v>2.05802E-2</v>
      </c>
      <c r="K20" s="36" t="s">
        <v>42</v>
      </c>
      <c r="L20" s="129"/>
      <c r="M20" s="129"/>
      <c r="N20" s="129">
        <f>ROUND($D20*I20,2)</f>
        <v>0</v>
      </c>
      <c r="O20" s="105">
        <f>+SUM(L20:N20)</f>
        <v>0</v>
      </c>
      <c r="P20" s="245">
        <v>44531</v>
      </c>
    </row>
    <row r="21" spans="1:221" ht="13" x14ac:dyDescent="0.3">
      <c r="A21" s="96" t="s">
        <v>74</v>
      </c>
      <c r="B21" s="37"/>
      <c r="C21" s="37"/>
      <c r="D21" s="38"/>
      <c r="E21" s="38"/>
      <c r="F21" s="37"/>
      <c r="G21" s="37"/>
      <c r="I21" s="40"/>
      <c r="K21" s="39"/>
      <c r="L21" s="95"/>
      <c r="M21" s="54"/>
      <c r="N21" s="95">
        <f>SUM(N19:N20)</f>
        <v>9.4</v>
      </c>
      <c r="O21" s="95">
        <f>SUM(O19:O20)</f>
        <v>9.4</v>
      </c>
    </row>
    <row r="22" spans="1:221" ht="13" x14ac:dyDescent="0.3">
      <c r="A22" s="170"/>
      <c r="B22" s="170"/>
      <c r="C22" s="170"/>
      <c r="D22" s="171"/>
      <c r="E22" s="171"/>
      <c r="F22" s="170"/>
      <c r="G22" s="171"/>
      <c r="H22" s="171"/>
      <c r="I22" s="171"/>
      <c r="J22" s="171"/>
      <c r="K22" s="172"/>
      <c r="L22" s="171"/>
      <c r="M22" s="171"/>
      <c r="N22" s="171"/>
      <c r="O22" s="171"/>
      <c r="P22" s="171"/>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69</v>
      </c>
      <c r="B23" s="166"/>
      <c r="C23" s="166"/>
      <c r="D23" s="167"/>
      <c r="E23" s="167"/>
      <c r="F23" s="166"/>
      <c r="G23" s="167"/>
      <c r="H23" s="167"/>
      <c r="I23" s="167"/>
      <c r="J23" s="167"/>
      <c r="K23" s="167"/>
      <c r="L23" s="167"/>
      <c r="M23" s="167"/>
      <c r="N23" s="167"/>
      <c r="O23" s="167"/>
      <c r="P23" s="78"/>
      <c r="R23" s="175"/>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5">
      <c r="A24" s="151"/>
      <c r="B24" s="151"/>
      <c r="C24" s="151"/>
      <c r="D24" s="151"/>
      <c r="E24" s="151"/>
      <c r="F24" s="151"/>
      <c r="G24" s="151"/>
      <c r="H24" s="151"/>
      <c r="I24" s="151"/>
      <c r="J24" s="151"/>
      <c r="K24" s="151"/>
      <c r="L24" s="151"/>
      <c r="M24" s="151"/>
      <c r="N24" s="151"/>
      <c r="O24" s="151"/>
      <c r="P24" s="106"/>
      <c r="Q24" s="256"/>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5">
      <c r="A25" s="99" t="s">
        <v>78</v>
      </c>
      <c r="B25" s="176"/>
      <c r="C25" s="176"/>
      <c r="D25" s="100">
        <f>IF($C$15&lt;0,0,IF($C$15&gt;833000,833000,$C$15))</f>
        <v>0</v>
      </c>
      <c r="E25" s="101" t="s">
        <v>41</v>
      </c>
      <c r="F25" s="102" t="s">
        <v>8</v>
      </c>
      <c r="G25" s="103"/>
      <c r="H25" s="103"/>
      <c r="I25" s="103">
        <f>'Rider Rates'!$B$4</f>
        <v>5.9216E-3</v>
      </c>
      <c r="J25" s="201">
        <f t="shared" ref="J25:J46" si="0">SUM(G25:I25)</f>
        <v>5.9216E-3</v>
      </c>
      <c r="K25" s="104" t="s">
        <v>42</v>
      </c>
      <c r="L25" s="105"/>
      <c r="M25" s="105"/>
      <c r="N25" s="105">
        <f>ROUND(D25*I25,2)</f>
        <v>0</v>
      </c>
      <c r="O25" s="105">
        <f>SUM(L25:N25)</f>
        <v>0</v>
      </c>
      <c r="P25" s="245">
        <f>'Rider Rates'!$D$4</f>
        <v>45293</v>
      </c>
      <c r="Q25" s="256"/>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99" t="s">
        <v>79</v>
      </c>
      <c r="B26" s="78"/>
      <c r="C26" s="78"/>
      <c r="D26" s="123">
        <f>IF($C$15&gt;833000,$C$15-833000,0)</f>
        <v>0</v>
      </c>
      <c r="E26" s="101" t="s">
        <v>41</v>
      </c>
      <c r="F26" s="102" t="s">
        <v>8</v>
      </c>
      <c r="G26" s="103"/>
      <c r="H26" s="103"/>
      <c r="I26" s="103">
        <f>'Rider Rates'!$B$5</f>
        <v>1.7560000000000001E-4</v>
      </c>
      <c r="J26" s="201">
        <f t="shared" si="0"/>
        <v>1.7560000000000001E-4</v>
      </c>
      <c r="K26" s="104" t="s">
        <v>42</v>
      </c>
      <c r="L26" s="105"/>
      <c r="M26" s="105"/>
      <c r="N26" s="105">
        <f>ROUND(D26*I26,2)</f>
        <v>0</v>
      </c>
      <c r="O26" s="105">
        <f>SUM(L26:N26)</f>
        <v>0</v>
      </c>
      <c r="P26" s="245">
        <f>'Rider Rates'!$D$4</f>
        <v>45293</v>
      </c>
      <c r="Q26" s="256"/>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96</v>
      </c>
      <c r="B27" s="78"/>
      <c r="C27" s="78"/>
      <c r="D27" s="1">
        <f>IF('Customer Info'!$C$32=TRUE,0,IF(C15&lt;0,0,IF(C15&gt;2000,2000,C15)))</f>
        <v>0</v>
      </c>
      <c r="E27" s="101" t="s">
        <v>41</v>
      </c>
      <c r="F27" s="102" t="s">
        <v>8</v>
      </c>
      <c r="G27" s="103"/>
      <c r="H27" s="103"/>
      <c r="I27" s="177">
        <f>'Rider Rates'!$B$8</f>
        <v>4.6499999999999996E-3</v>
      </c>
      <c r="J27" s="177">
        <f t="shared" si="0"/>
        <v>4.6499999999999996E-3</v>
      </c>
      <c r="K27" s="104" t="s">
        <v>42</v>
      </c>
      <c r="L27" s="105"/>
      <c r="M27" s="105"/>
      <c r="N27" s="105">
        <f>ROUND(D27*I27,2)</f>
        <v>0</v>
      </c>
      <c r="O27" s="105">
        <f>SUM(L27:N27)</f>
        <v>0</v>
      </c>
      <c r="P27" s="245">
        <f>'Rider Rates'!$D$7</f>
        <v>44531</v>
      </c>
      <c r="Q27" s="25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97</v>
      </c>
      <c r="B28" s="78"/>
      <c r="C28" s="78"/>
      <c r="D28" s="1">
        <f>IF('Customer Info'!$C$32=TRUE,0,IF(C15&gt;15000,13000,IF(C15&gt;2000,C15-2000,0)))</f>
        <v>0</v>
      </c>
      <c r="E28" s="101" t="s">
        <v>41</v>
      </c>
      <c r="F28" s="102" t="s">
        <v>8</v>
      </c>
      <c r="G28" s="103"/>
      <c r="H28" s="103"/>
      <c r="I28" s="177">
        <f>'Rider Rates'!$B$9</f>
        <v>4.1900000000000001E-3</v>
      </c>
      <c r="J28" s="177">
        <f t="shared" si="0"/>
        <v>4.1900000000000001E-3</v>
      </c>
      <c r="K28" s="104" t="s">
        <v>42</v>
      </c>
      <c r="L28" s="105"/>
      <c r="M28" s="105"/>
      <c r="N28" s="105">
        <f>ROUND(D28*I28,2)</f>
        <v>0</v>
      </c>
      <c r="O28" s="105">
        <f>SUM(L28:N28)</f>
        <v>0</v>
      </c>
      <c r="P28" s="245">
        <f>'Rider Rates'!$D$7</f>
        <v>44531</v>
      </c>
      <c r="Q28" s="25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98</v>
      </c>
      <c r="B29" s="78"/>
      <c r="C29" s="78"/>
      <c r="D29" s="1">
        <f>IF('Customer Info'!$C$32=TRUE,0,IF(C15-D27-D28&gt;0,C15-D27-D28,0))</f>
        <v>0</v>
      </c>
      <c r="E29" s="101" t="s">
        <v>41</v>
      </c>
      <c r="F29" s="102" t="s">
        <v>8</v>
      </c>
      <c r="G29" s="103"/>
      <c r="H29" s="103"/>
      <c r="I29" s="177">
        <f>'Rider Rates'!$B$10</f>
        <v>3.63E-3</v>
      </c>
      <c r="J29" s="177">
        <f t="shared" si="0"/>
        <v>3.63E-3</v>
      </c>
      <c r="K29" s="104" t="s">
        <v>42</v>
      </c>
      <c r="L29" s="105"/>
      <c r="M29" s="105"/>
      <c r="N29" s="105">
        <f>ROUND(D29*I29,2)</f>
        <v>0</v>
      </c>
      <c r="O29" s="105">
        <f>SUM(L29:N29)</f>
        <v>0</v>
      </c>
      <c r="P29" s="245">
        <f>'Rider Rates'!$D$7</f>
        <v>44531</v>
      </c>
      <c r="Q29" s="25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ht="13" x14ac:dyDescent="0.3">
      <c r="A30" s="210" t="s">
        <v>247</v>
      </c>
      <c r="B30" s="78"/>
      <c r="C30" s="78"/>
      <c r="D30" s="195">
        <f>$N$21</f>
        <v>9.4</v>
      </c>
      <c r="E30" s="101" t="s">
        <v>121</v>
      </c>
      <c r="F30" s="102" t="s">
        <v>8</v>
      </c>
      <c r="G30" s="103"/>
      <c r="H30" s="103"/>
      <c r="I30" s="178">
        <f>'Rider Rates'!$B$18+'Rider Rates'!$E$18</f>
        <v>0</v>
      </c>
      <c r="J30" s="178">
        <f>SUM(G30:I30)</f>
        <v>0</v>
      </c>
      <c r="K30" s="104"/>
      <c r="L30" s="105"/>
      <c r="M30" s="105"/>
      <c r="N30" s="105">
        <f>ROUND($D$30*'Rider Rates'!$B$18,2)+ROUND($D$30*'Rider Rates'!$E$18,2)</f>
        <v>0</v>
      </c>
      <c r="O30" s="105">
        <f t="shared" ref="O30:O36" si="1">SUM(L30:N30)</f>
        <v>0</v>
      </c>
      <c r="P30" s="245">
        <f>MAX('Rider Rates'!$D$18,'Rider Rates'!$F$18)</f>
        <v>44531</v>
      </c>
      <c r="Q30" s="25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210" t="s">
        <v>195</v>
      </c>
      <c r="B31" s="78"/>
      <c r="C31" s="78"/>
      <c r="D31" s="100">
        <f>'Customer Info'!$B$21+'Customer Info'!$B$22</f>
        <v>0</v>
      </c>
      <c r="E31" s="101" t="s">
        <v>41</v>
      </c>
      <c r="F31" s="102" t="s">
        <v>8</v>
      </c>
      <c r="G31" s="103">
        <f>'Rider Rates'!B22</f>
        <v>0.10589</v>
      </c>
      <c r="H31" s="103"/>
      <c r="I31" s="103"/>
      <c r="J31" s="237">
        <f>SUM(G31:H31)</f>
        <v>0.10589</v>
      </c>
      <c r="K31" s="104" t="s">
        <v>42</v>
      </c>
      <c r="L31" s="105">
        <f>ROUND(D31*G31,2)</f>
        <v>0</v>
      </c>
      <c r="M31" s="105"/>
      <c r="N31" s="105"/>
      <c r="O31" s="105">
        <f t="shared" si="1"/>
        <v>0</v>
      </c>
      <c r="P31" s="245">
        <f>'Rider Rates'!$D$21</f>
        <v>45078</v>
      </c>
      <c r="Q31" s="25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41" t="s">
        <v>165</v>
      </c>
      <c r="B32" s="78"/>
      <c r="C32" s="78"/>
      <c r="D32" s="1">
        <f>'Customer Info'!B21</f>
        <v>0</v>
      </c>
      <c r="E32" s="101" t="s">
        <v>41</v>
      </c>
      <c r="F32" s="102" t="s">
        <v>8</v>
      </c>
      <c r="G32" s="103">
        <f>'Rider Rates'!$B$40</f>
        <v>9.9068000000000003E-3</v>
      </c>
      <c r="H32" s="103"/>
      <c r="I32" s="103"/>
      <c r="J32" s="237">
        <f>SUM(G32:H32)</f>
        <v>9.9068000000000003E-3</v>
      </c>
      <c r="K32" s="104" t="s">
        <v>42</v>
      </c>
      <c r="L32" s="105">
        <f>ROUND(D32*G32,2)</f>
        <v>0</v>
      </c>
      <c r="M32" s="105"/>
      <c r="N32" s="105"/>
      <c r="O32" s="105">
        <f t="shared" si="1"/>
        <v>0</v>
      </c>
      <c r="P32" s="245">
        <f>'Rider Rates'!$D$40</f>
        <v>45078</v>
      </c>
      <c r="Q32" s="25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241" t="s">
        <v>229</v>
      </c>
      <c r="B33" s="78"/>
      <c r="C33" s="78"/>
      <c r="D33" s="1">
        <f>'Customer Info'!B22</f>
        <v>0</v>
      </c>
      <c r="E33" s="101" t="s">
        <v>41</v>
      </c>
      <c r="F33" s="102" t="s">
        <v>8</v>
      </c>
      <c r="G33" s="103">
        <f>'Rider Rates'!$B$41</f>
        <v>3.3899999999999997E-5</v>
      </c>
      <c r="H33" s="103"/>
      <c r="I33" s="103"/>
      <c r="J33" s="237">
        <f>SUM(G33:H33)</f>
        <v>3.3899999999999997E-5</v>
      </c>
      <c r="K33" s="104" t="s">
        <v>42</v>
      </c>
      <c r="L33" s="105">
        <f>ROUND(D33*G33,2)</f>
        <v>0</v>
      </c>
      <c r="M33" s="105"/>
      <c r="N33" s="105"/>
      <c r="O33" s="105">
        <f t="shared" si="1"/>
        <v>0</v>
      </c>
      <c r="P33" s="245">
        <f>'Rider Rates'!$D$41</f>
        <v>45078</v>
      </c>
      <c r="Q33" s="25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10" t="s">
        <v>202</v>
      </c>
      <c r="B34" s="78"/>
      <c r="C34" s="78"/>
      <c r="D34" s="100">
        <f>'Customer Info'!$B$21+'Customer Info'!$B$22</f>
        <v>0</v>
      </c>
      <c r="E34" s="101" t="s">
        <v>41</v>
      </c>
      <c r="F34" s="102" t="s">
        <v>8</v>
      </c>
      <c r="G34" s="103">
        <f>'Rider Rates'!$B$46</f>
        <v>-4.8640000000000001E-4</v>
      </c>
      <c r="H34" s="103"/>
      <c r="I34" s="103"/>
      <c r="J34" s="237">
        <f>SUM(G34:H34)</f>
        <v>-4.8640000000000001E-4</v>
      </c>
      <c r="K34" s="104" t="s">
        <v>42</v>
      </c>
      <c r="L34" s="105">
        <f>ROUND(D34*G34,2)</f>
        <v>0</v>
      </c>
      <c r="M34" s="105"/>
      <c r="N34" s="105"/>
      <c r="O34" s="105">
        <f t="shared" si="1"/>
        <v>0</v>
      </c>
      <c r="P34" s="245">
        <f>'Rider Rates'!$D$46</f>
        <v>45383</v>
      </c>
      <c r="Q34" s="25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41" t="s">
        <v>220</v>
      </c>
      <c r="B35" s="78"/>
      <c r="C35" s="78"/>
      <c r="D35" s="100">
        <f>IF($C$15&lt;0,0,IF($C$15&gt;833000,833000,$C$15))</f>
        <v>0</v>
      </c>
      <c r="E35" s="101" t="s">
        <v>41</v>
      </c>
      <c r="F35" s="102" t="s">
        <v>8</v>
      </c>
      <c r="G35" s="103"/>
      <c r="H35" s="103"/>
      <c r="I35" s="103">
        <f>'Rider Rates'!D50</f>
        <v>1.7826999999999999E-3</v>
      </c>
      <c r="J35" s="103">
        <f>SUM(G35:I35)</f>
        <v>1.7826999999999999E-3</v>
      </c>
      <c r="K35" s="104" t="s">
        <v>42</v>
      </c>
      <c r="L35" s="105"/>
      <c r="M35" s="105"/>
      <c r="N35" s="105">
        <f>D35*J35</f>
        <v>0</v>
      </c>
      <c r="O35" s="105">
        <f t="shared" si="1"/>
        <v>0</v>
      </c>
      <c r="P35" s="245">
        <f>'Rider Rates'!E50</f>
        <v>45292</v>
      </c>
      <c r="Q35" s="25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198</v>
      </c>
      <c r="B36" s="78"/>
      <c r="C36" s="78"/>
      <c r="D36" s="100">
        <f>IF($C$15&lt;0,0,$C$15)</f>
        <v>0</v>
      </c>
      <c r="E36" s="113" t="s">
        <v>41</v>
      </c>
      <c r="F36" s="102" t="s">
        <v>8</v>
      </c>
      <c r="G36" s="103"/>
      <c r="H36" s="103">
        <f>'Rider Rates'!$B$57</f>
        <v>2.3467399999999999E-2</v>
      </c>
      <c r="I36" s="103"/>
      <c r="J36" s="103">
        <f>SUM(G36:I36)</f>
        <v>2.3467399999999999E-2</v>
      </c>
      <c r="K36" s="104" t="s">
        <v>42</v>
      </c>
      <c r="L36" s="105"/>
      <c r="M36" s="105">
        <f>ROUND(D36*H36,2)</f>
        <v>0</v>
      </c>
      <c r="N36" s="205"/>
      <c r="O36" s="105">
        <f t="shared" si="1"/>
        <v>0</v>
      </c>
      <c r="P36" s="245">
        <f>'Rider Rates'!$D$57</f>
        <v>45383</v>
      </c>
      <c r="Q36" s="25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99" t="s">
        <v>95</v>
      </c>
      <c r="B37" s="78"/>
      <c r="C37" s="78"/>
      <c r="D37" s="100">
        <f>IF('Customer Info'!C34=TRUE,0,IF($C$15&lt;0,0,$C$15))</f>
        <v>0</v>
      </c>
      <c r="E37" s="101" t="s">
        <v>41</v>
      </c>
      <c r="F37" s="102" t="s">
        <v>8</v>
      </c>
      <c r="G37" s="103"/>
      <c r="H37" s="103"/>
      <c r="I37" s="103">
        <f>'Rider Rates'!$B$71+'Rider Rates'!$C$71</f>
        <v>0</v>
      </c>
      <c r="J37" s="103">
        <f>SUM(G37:I37)</f>
        <v>0</v>
      </c>
      <c r="K37" s="104" t="s">
        <v>42</v>
      </c>
      <c r="L37" s="105"/>
      <c r="M37" s="105"/>
      <c r="N37" s="87">
        <f>ROUND($D$37*'Rider Rates'!$B$71,2)+ROUND($D$37*'Rider Rates'!$C$71,2)</f>
        <v>0</v>
      </c>
      <c r="O37" s="105">
        <f>SUM(L37:N37)</f>
        <v>0</v>
      </c>
      <c r="P37" s="245">
        <f>'Rider Rates'!$D$71</f>
        <v>44531</v>
      </c>
      <c r="Q37" s="25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99" t="s">
        <v>95</v>
      </c>
      <c r="B38" s="78"/>
      <c r="C38" s="78"/>
      <c r="D38" s="100"/>
      <c r="E38" s="101" t="s">
        <v>114</v>
      </c>
      <c r="F38" s="102"/>
      <c r="G38" s="103"/>
      <c r="H38" s="103"/>
      <c r="I38" s="196">
        <f>'Rider Rates'!$B$77</f>
        <v>0</v>
      </c>
      <c r="J38" s="196">
        <f>IF('Customer Info'!C34=TRUE,0,SUM(G38:I38))</f>
        <v>0</v>
      </c>
      <c r="K38" s="104"/>
      <c r="L38" s="105"/>
      <c r="M38" s="105"/>
      <c r="N38" s="105">
        <f>J38</f>
        <v>0</v>
      </c>
      <c r="O38" s="105">
        <f>SUM(L38:N38)</f>
        <v>0</v>
      </c>
      <c r="P38" s="245">
        <f>'Rider Rates'!$D$77</f>
        <v>44531</v>
      </c>
      <c r="Q38" s="25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ht="13" x14ac:dyDescent="0.3">
      <c r="A39" s="99" t="s">
        <v>80</v>
      </c>
      <c r="B39" s="78"/>
      <c r="C39" s="78"/>
      <c r="D39" s="195">
        <f>$N$21</f>
        <v>9.4</v>
      </c>
      <c r="E39" s="101" t="s">
        <v>121</v>
      </c>
      <c r="F39" s="102" t="s">
        <v>8</v>
      </c>
      <c r="G39" s="111"/>
      <c r="H39" s="112"/>
      <c r="I39" s="120">
        <f>'Rider Rates'!$B$84</f>
        <v>2.9347000000000002E-2</v>
      </c>
      <c r="J39" s="120">
        <f t="shared" si="0"/>
        <v>2.9347000000000002E-2</v>
      </c>
      <c r="K39" s="104"/>
      <c r="L39" s="105"/>
      <c r="M39" s="105"/>
      <c r="N39" s="105">
        <f>ROUND(D39*I39,2)</f>
        <v>0.28000000000000003</v>
      </c>
      <c r="O39" s="105">
        <f>SUM(L39:N39)</f>
        <v>0.28000000000000003</v>
      </c>
      <c r="P39" s="245">
        <f>'Rider Rates'!$D$84</f>
        <v>45383</v>
      </c>
      <c r="Q39" s="25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ht="13" x14ac:dyDescent="0.3">
      <c r="A40" s="99" t="s">
        <v>81</v>
      </c>
      <c r="B40" s="78"/>
      <c r="C40" s="78"/>
      <c r="D40" s="195">
        <f>$N$21</f>
        <v>9.4</v>
      </c>
      <c r="E40" s="101" t="s">
        <v>121</v>
      </c>
      <c r="F40" s="102" t="s">
        <v>8</v>
      </c>
      <c r="G40" s="114"/>
      <c r="H40" s="115"/>
      <c r="I40" s="120">
        <f>'Rider Rates'!$B$86</f>
        <v>6.6985699999999995E-2</v>
      </c>
      <c r="J40" s="120">
        <f t="shared" si="0"/>
        <v>6.6985699999999995E-2</v>
      </c>
      <c r="K40" s="104"/>
      <c r="L40" s="105"/>
      <c r="M40" s="105"/>
      <c r="N40" s="105">
        <f>ROUND(D40*I40,2)</f>
        <v>0.63</v>
      </c>
      <c r="O40" s="105">
        <f>SUM(L40:N40)</f>
        <v>0.63</v>
      </c>
      <c r="P40" s="245">
        <f>'Rider Rates'!$D$86</f>
        <v>45167</v>
      </c>
      <c r="Q40" s="25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ht="13" x14ac:dyDescent="0.3">
      <c r="A41" s="210" t="s">
        <v>216</v>
      </c>
      <c r="B41" s="78"/>
      <c r="C41" s="78"/>
      <c r="D41" s="195"/>
      <c r="E41" s="113" t="s">
        <v>114</v>
      </c>
      <c r="F41" s="106"/>
      <c r="G41" s="114"/>
      <c r="H41" s="115"/>
      <c r="I41" s="196">
        <f>'Rider Rates'!$B$90</f>
        <v>15.91</v>
      </c>
      <c r="J41" s="196">
        <f t="shared" si="0"/>
        <v>15.91</v>
      </c>
      <c r="K41" s="104"/>
      <c r="L41" s="105"/>
      <c r="M41" s="105"/>
      <c r="N41" s="105">
        <f>I41</f>
        <v>15.91</v>
      </c>
      <c r="O41" s="105">
        <f>SUM(L41:N41)</f>
        <v>15.91</v>
      </c>
      <c r="P41" s="245">
        <f>'Rider Rates'!$D$90</f>
        <v>45351</v>
      </c>
      <c r="Q41" s="25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5">
      <c r="A42" s="210" t="s">
        <v>263</v>
      </c>
      <c r="B42" s="78"/>
      <c r="C42" s="78"/>
      <c r="D42" s="100">
        <f>$D$25</f>
        <v>0</v>
      </c>
      <c r="E42" s="101" t="s">
        <v>41</v>
      </c>
      <c r="F42" s="102" t="s">
        <v>8</v>
      </c>
      <c r="G42" s="103"/>
      <c r="H42" s="103"/>
      <c r="I42" s="103"/>
      <c r="J42" s="103">
        <f>'Rider Rates'!$B$97</f>
        <v>0</v>
      </c>
      <c r="K42" s="104" t="s">
        <v>42</v>
      </c>
      <c r="L42" s="105"/>
      <c r="M42" s="105"/>
      <c r="N42" s="105"/>
      <c r="O42" s="105">
        <f>ROUND($D42*('Rider Rates'!B$97),2)</f>
        <v>0</v>
      </c>
      <c r="P42" s="245">
        <f>'Rider Rates'!$D$97</f>
        <v>44531</v>
      </c>
      <c r="Q42" s="255"/>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5">
      <c r="A43" s="210" t="s">
        <v>264</v>
      </c>
      <c r="B43" s="78"/>
      <c r="C43" s="78"/>
      <c r="D43" s="100">
        <f>$D$26</f>
        <v>0</v>
      </c>
      <c r="E43" s="101"/>
      <c r="F43" s="102"/>
      <c r="G43" s="103"/>
      <c r="H43" s="103"/>
      <c r="I43" s="103"/>
      <c r="J43" s="103">
        <f>'Rider Rates'!$B$98</f>
        <v>0</v>
      </c>
      <c r="K43" s="104" t="s">
        <v>42</v>
      </c>
      <c r="L43" s="105"/>
      <c r="M43" s="105"/>
      <c r="N43" s="105"/>
      <c r="O43" s="105">
        <f>ROUND($D43*('Rider Rates'!B$98),2)</f>
        <v>0</v>
      </c>
      <c r="P43" s="245">
        <f>'Rider Rates'!$D$98</f>
        <v>44531</v>
      </c>
      <c r="Q43" s="255"/>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99" t="s">
        <v>157</v>
      </c>
      <c r="B44" s="78"/>
      <c r="C44" s="78"/>
      <c r="D44" s="195">
        <f>$N$21</f>
        <v>9.4</v>
      </c>
      <c r="E44" s="101" t="s">
        <v>121</v>
      </c>
      <c r="F44" s="102" t="s">
        <v>8</v>
      </c>
      <c r="G44" s="114"/>
      <c r="H44" s="115"/>
      <c r="I44" s="120">
        <f>'Rider Rates'!$B$104</f>
        <v>0.21398439999999999</v>
      </c>
      <c r="J44" s="120">
        <f t="shared" si="0"/>
        <v>0.21398439999999999</v>
      </c>
      <c r="K44" s="104"/>
      <c r="L44" s="105"/>
      <c r="M44" s="105"/>
      <c r="N44" s="105">
        <f>ROUND(D44*I44,2)</f>
        <v>2.0099999999999998</v>
      </c>
      <c r="O44" s="105">
        <f t="shared" ref="O44:O50" si="2">SUM(L44:N44)</f>
        <v>2.0099999999999998</v>
      </c>
      <c r="P44" s="245">
        <f>'Rider Rates'!$D$104</f>
        <v>45351</v>
      </c>
      <c r="Q44" s="255"/>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210" t="s">
        <v>219</v>
      </c>
      <c r="B45" s="78"/>
      <c r="C45" s="78"/>
      <c r="D45" s="195"/>
      <c r="E45" s="113" t="s">
        <v>114</v>
      </c>
      <c r="F45" s="106"/>
      <c r="G45" s="114"/>
      <c r="H45" s="115"/>
      <c r="I45" s="196">
        <f>'Rider Rates'!$B$108</f>
        <v>0</v>
      </c>
      <c r="J45" s="196">
        <f t="shared" si="0"/>
        <v>0</v>
      </c>
      <c r="K45" s="104"/>
      <c r="L45" s="105"/>
      <c r="M45" s="105"/>
      <c r="N45" s="105">
        <f>I45</f>
        <v>0</v>
      </c>
      <c r="O45" s="105">
        <f t="shared" si="2"/>
        <v>0</v>
      </c>
      <c r="P45" s="245">
        <f>'Rider Rates'!$D$108</f>
        <v>44894</v>
      </c>
      <c r="Q45" s="255"/>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210" t="s">
        <v>228</v>
      </c>
      <c r="B46" s="78"/>
      <c r="C46" s="78"/>
      <c r="D46" s="195"/>
      <c r="E46" s="113" t="s">
        <v>114</v>
      </c>
      <c r="F46" s="106"/>
      <c r="G46" s="114"/>
      <c r="H46" s="115"/>
      <c r="I46" s="260">
        <f>'Rider Rates'!B121</f>
        <v>5.83</v>
      </c>
      <c r="J46" s="196">
        <f t="shared" si="0"/>
        <v>5.83</v>
      </c>
      <c r="K46" s="104"/>
      <c r="L46" s="105"/>
      <c r="M46" s="105"/>
      <c r="N46" s="262">
        <f>'Rider Rates'!B121</f>
        <v>5.83</v>
      </c>
      <c r="O46" s="105">
        <f t="shared" si="2"/>
        <v>5.83</v>
      </c>
      <c r="P46" s="245">
        <f>'Rider Rates'!D121</f>
        <v>45226</v>
      </c>
      <c r="Q46" s="255"/>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5">
      <c r="A47" s="99" t="s">
        <v>158</v>
      </c>
      <c r="B47" s="78"/>
      <c r="C47" s="78"/>
      <c r="D47" s="100">
        <f>'Customer Info'!$B$21+'Customer Info'!$B$22</f>
        <v>0</v>
      </c>
      <c r="E47" s="101" t="s">
        <v>41</v>
      </c>
      <c r="F47" s="102" t="s">
        <v>8</v>
      </c>
      <c r="G47" s="103">
        <f>'Rider Rates'!$B$111</f>
        <v>3.8972999999999998E-3</v>
      </c>
      <c r="H47" s="103"/>
      <c r="I47" s="120"/>
      <c r="J47" s="237">
        <f>SUM(G47:H47)</f>
        <v>3.8972999999999998E-3</v>
      </c>
      <c r="K47" s="104" t="s">
        <v>42</v>
      </c>
      <c r="L47" s="105">
        <f>ROUND(D47*G47,2)</f>
        <v>0</v>
      </c>
      <c r="M47" s="105"/>
      <c r="N47" s="105"/>
      <c r="O47" s="105">
        <f t="shared" si="2"/>
        <v>0</v>
      </c>
      <c r="P47" s="245">
        <f>'Rider Rates'!$D$111</f>
        <v>44531</v>
      </c>
      <c r="Q47" s="255"/>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10" t="s">
        <v>218</v>
      </c>
      <c r="B48" s="78"/>
      <c r="C48" s="78"/>
      <c r="D48" s="100">
        <f>IF($C$15&lt;1,0,$C$15)</f>
        <v>0</v>
      </c>
      <c r="E48" s="101" t="s">
        <v>41</v>
      </c>
      <c r="F48" s="249" t="s">
        <v>8</v>
      </c>
      <c r="G48" s="165"/>
      <c r="H48" s="165"/>
      <c r="I48" s="251">
        <f>'Rider Rates'!B117</f>
        <v>-6.2E-4</v>
      </c>
      <c r="J48" s="251">
        <f>SUM(G48:I48)</f>
        <v>-6.2E-4</v>
      </c>
      <c r="K48" s="104" t="s">
        <v>42</v>
      </c>
      <c r="L48" s="105"/>
      <c r="M48" s="105"/>
      <c r="N48" s="105">
        <f>D48*J48</f>
        <v>0</v>
      </c>
      <c r="O48" s="105">
        <f t="shared" si="2"/>
        <v>0</v>
      </c>
      <c r="P48" s="245">
        <f>'Rider Rates'!D117</f>
        <v>44531</v>
      </c>
      <c r="Q48" s="255"/>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5">
      <c r="A49" s="78" t="s">
        <v>243</v>
      </c>
      <c r="B49" s="78"/>
      <c r="C49" s="78"/>
      <c r="D49" s="100">
        <f>IF(C15&lt;0,0,IF(C15&gt;833000,833000,C15))</f>
        <v>0</v>
      </c>
      <c r="E49" s="101" t="s">
        <v>41</v>
      </c>
      <c r="F49" s="102" t="s">
        <v>8</v>
      </c>
      <c r="G49" s="267"/>
      <c r="H49" s="267"/>
      <c r="I49" s="267">
        <f>'Rider Rates'!$B$125</f>
        <v>2.9050000000000001E-4</v>
      </c>
      <c r="J49" s="267">
        <f>SUM(G49:I49)</f>
        <v>2.9050000000000001E-4</v>
      </c>
      <c r="K49" s="104" t="s">
        <v>42</v>
      </c>
      <c r="L49" s="268"/>
      <c r="M49" s="268"/>
      <c r="N49" s="268">
        <f>IF(D49*J49&gt;'Rider Rates'!$C$125,'Rider Rates'!$C$125,D49*J49)</f>
        <v>0</v>
      </c>
      <c r="O49" s="268">
        <f t="shared" si="2"/>
        <v>0</v>
      </c>
      <c r="P49" s="266">
        <f>'Rider Rates'!$E$125</f>
        <v>45292</v>
      </c>
      <c r="Q49" s="255"/>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5">
      <c r="A50" s="78" t="s">
        <v>244</v>
      </c>
      <c r="B50" s="78"/>
      <c r="C50" s="78"/>
      <c r="D50" s="123">
        <f>IF(C15&gt;833000,C15-833000,0)</f>
        <v>0</v>
      </c>
      <c r="E50" s="101" t="s">
        <v>41</v>
      </c>
      <c r="F50" s="102" t="s">
        <v>8</v>
      </c>
      <c r="G50" s="267"/>
      <c r="H50" s="267"/>
      <c r="I50" s="267">
        <f>'Rider Rates'!$B$126</f>
        <v>0</v>
      </c>
      <c r="J50" s="267">
        <f>SUM(G50:I50)</f>
        <v>0</v>
      </c>
      <c r="K50" s="104" t="s">
        <v>42</v>
      </c>
      <c r="L50" s="268"/>
      <c r="M50" s="268"/>
      <c r="N50" s="268">
        <f>D50*J50</f>
        <v>0</v>
      </c>
      <c r="O50" s="268">
        <f t="shared" si="2"/>
        <v>0</v>
      </c>
      <c r="P50" s="266">
        <f>'Rider Rates'!$E$126</f>
        <v>44927</v>
      </c>
      <c r="Q50" s="255"/>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241" t="s">
        <v>252</v>
      </c>
      <c r="B51" s="78"/>
      <c r="C51" s="78"/>
      <c r="D51" s="100">
        <f>C14</f>
        <v>0</v>
      </c>
      <c r="E51" s="101" t="s">
        <v>41</v>
      </c>
      <c r="F51" s="249" t="s">
        <v>8</v>
      </c>
      <c r="G51" s="103"/>
      <c r="H51" s="103"/>
      <c r="I51" s="103">
        <f>'Rider Rates'!$B$130</f>
        <v>0</v>
      </c>
      <c r="J51" s="237">
        <f>SUM(G51:I51)</f>
        <v>0</v>
      </c>
      <c r="K51" s="104" t="s">
        <v>42</v>
      </c>
      <c r="L51" s="105"/>
      <c r="M51" s="105"/>
      <c r="N51" s="105">
        <f>D51*J51</f>
        <v>0</v>
      </c>
      <c r="O51" s="105">
        <f>SUM(L51:N51)</f>
        <v>0</v>
      </c>
      <c r="P51" s="245">
        <f>'Rider Rates'!$D$130</f>
        <v>44531</v>
      </c>
      <c r="Q51" s="255"/>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241" t="s">
        <v>251</v>
      </c>
      <c r="B52" s="78"/>
      <c r="C52" s="78"/>
      <c r="D52" s="100"/>
      <c r="E52" s="101" t="s">
        <v>114</v>
      </c>
      <c r="F52" s="102" t="s">
        <v>8</v>
      </c>
      <c r="G52" s="265"/>
      <c r="H52" s="265"/>
      <c r="I52" s="265">
        <f>'Rider Rates'!$B$137</f>
        <v>0</v>
      </c>
      <c r="J52" s="265">
        <f>SUM(G52:I52)</f>
        <v>0</v>
      </c>
      <c r="K52" s="104"/>
      <c r="L52" s="209"/>
      <c r="M52" s="209"/>
      <c r="N52" s="209">
        <f>J52</f>
        <v>0</v>
      </c>
      <c r="O52" s="209">
        <f>SUM(L52:N52)</f>
        <v>0</v>
      </c>
      <c r="P52" s="266">
        <f>'Rider Rates'!$D$137</f>
        <v>44531</v>
      </c>
      <c r="Q52" s="255"/>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241" t="s">
        <v>253</v>
      </c>
      <c r="B53" s="78"/>
      <c r="C53" s="78"/>
      <c r="D53" s="100"/>
      <c r="E53" s="101"/>
      <c r="F53" s="102"/>
      <c r="G53" s="265"/>
      <c r="H53" s="265"/>
      <c r="I53" s="265"/>
      <c r="J53" s="265"/>
      <c r="K53" s="104"/>
      <c r="L53" s="209"/>
      <c r="M53" s="209"/>
      <c r="N53" s="209"/>
      <c r="O53" s="209"/>
      <c r="P53" s="266"/>
      <c r="Q53" s="255"/>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ht="13" x14ac:dyDescent="0.3">
      <c r="A54" s="179" t="s">
        <v>70</v>
      </c>
      <c r="B54" s="148"/>
      <c r="C54" s="148"/>
      <c r="D54" s="180"/>
      <c r="E54" s="181"/>
      <c r="F54" s="182"/>
      <c r="G54" s="182"/>
      <c r="H54" s="182"/>
      <c r="I54" s="182"/>
      <c r="J54" s="182"/>
      <c r="K54" s="183"/>
      <c r="L54" s="169">
        <f>SUM(L25:L53)</f>
        <v>0</v>
      </c>
      <c r="M54" s="169">
        <f>SUM(M25:M53)</f>
        <v>0</v>
      </c>
      <c r="N54" s="169">
        <f>SUM(N25:N53)</f>
        <v>24.659999999999997</v>
      </c>
      <c r="O54" s="169">
        <f>SUM(O25:O53)</f>
        <v>24.659999999999997</v>
      </c>
      <c r="P54" s="184"/>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ht="13" x14ac:dyDescent="0.3">
      <c r="A55" s="78"/>
      <c r="B55" s="78"/>
      <c r="C55" s="78"/>
      <c r="D55" s="100"/>
      <c r="E55" s="113"/>
      <c r="F55" s="106"/>
      <c r="G55" s="106"/>
      <c r="H55" s="106"/>
      <c r="I55" s="106"/>
      <c r="J55" s="107"/>
      <c r="K55" s="104"/>
      <c r="L55" s="106"/>
      <c r="M55" s="169"/>
      <c r="N55" s="106"/>
      <c r="O55" s="106"/>
      <c r="P55" s="164"/>
      <c r="Q55" s="106"/>
      <c r="R55" s="188"/>
      <c r="S55" s="108"/>
      <c r="T55" s="109"/>
      <c r="U55" s="78"/>
      <c r="V55" s="10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ht="13" x14ac:dyDescent="0.3">
      <c r="A56" s="81" t="s">
        <v>71</v>
      </c>
      <c r="B56" s="170"/>
      <c r="C56" s="170"/>
      <c r="D56" s="170"/>
      <c r="E56" s="170"/>
      <c r="F56" s="170"/>
      <c r="G56" s="170"/>
      <c r="H56" s="170"/>
      <c r="I56" s="170"/>
      <c r="J56" s="170"/>
      <c r="K56" s="170"/>
      <c r="L56" s="186">
        <f>L21+L54</f>
        <v>0</v>
      </c>
      <c r="M56" s="186">
        <f>M21+M54</f>
        <v>0</v>
      </c>
      <c r="N56" s="186">
        <f>N21+N54</f>
        <v>34.059999999999995</v>
      </c>
      <c r="O56" s="187">
        <f>O21+O54</f>
        <v>34.059999999999995</v>
      </c>
      <c r="P56" s="187"/>
      <c r="Q56" s="106"/>
      <c r="R56" s="166"/>
      <c r="S56" s="166"/>
      <c r="T56" s="189"/>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ht="13" x14ac:dyDescent="0.3">
      <c r="A57" s="204"/>
      <c r="B57" s="78"/>
      <c r="C57" s="78"/>
      <c r="D57" s="78"/>
      <c r="E57" s="78"/>
      <c r="F57" s="78"/>
      <c r="G57" s="78"/>
      <c r="H57" s="78"/>
      <c r="I57" s="78"/>
      <c r="J57" s="78"/>
      <c r="K57" s="78"/>
      <c r="L57" s="78"/>
      <c r="M57" s="78"/>
      <c r="N57" s="151"/>
      <c r="O57" s="151"/>
      <c r="P57" s="151"/>
      <c r="Q57" s="166"/>
      <c r="R57" s="166"/>
      <c r="S57" s="166"/>
      <c r="T57" s="189"/>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ht="13" x14ac:dyDescent="0.3">
      <c r="A58" s="147"/>
      <c r="B58" s="78"/>
      <c r="C58" s="78"/>
      <c r="D58" s="78"/>
      <c r="E58" s="78"/>
      <c r="F58" s="78"/>
      <c r="G58" s="78"/>
      <c r="H58" s="78"/>
      <c r="I58" s="78"/>
      <c r="J58" s="78"/>
      <c r="K58" s="78"/>
      <c r="L58" s="78"/>
      <c r="M58" s="78"/>
      <c r="N58" s="151"/>
      <c r="O58" s="151"/>
      <c r="P58" s="151"/>
      <c r="Q58" s="166"/>
      <c r="R58" s="166"/>
      <c r="S58" s="166"/>
      <c r="T58" s="189"/>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ht="13" x14ac:dyDescent="0.3">
      <c r="A59" s="166" t="s">
        <v>92</v>
      </c>
      <c r="B59" s="78"/>
      <c r="C59" s="78"/>
      <c r="D59" s="166"/>
      <c r="E59" s="78"/>
      <c r="F59" s="78"/>
      <c r="G59" s="78"/>
      <c r="H59" s="78"/>
      <c r="I59" s="78"/>
      <c r="J59" s="78"/>
      <c r="K59" s="78"/>
      <c r="L59" s="78"/>
      <c r="M59" s="78"/>
      <c r="N59" s="78"/>
      <c r="O59" s="109">
        <f>O19+O54</f>
        <v>34.059999999999995</v>
      </c>
      <c r="P59" s="151"/>
      <c r="Q59" s="166"/>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ht="13" x14ac:dyDescent="0.3">
      <c r="A60" s="147"/>
      <c r="B60" s="166"/>
      <c r="C60" s="166"/>
      <c r="D60" s="166"/>
      <c r="E60" s="166"/>
      <c r="F60" s="166"/>
      <c r="G60" s="166"/>
      <c r="H60" s="166"/>
      <c r="I60" s="78"/>
      <c r="J60" s="78"/>
      <c r="K60" s="78"/>
      <c r="L60" s="78"/>
      <c r="M60" s="78"/>
      <c r="N60" s="151"/>
      <c r="O60" s="151"/>
      <c r="P60" s="151"/>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ht="13" x14ac:dyDescent="0.3">
      <c r="A61" s="148" t="s">
        <v>116</v>
      </c>
      <c r="B61" s="151"/>
      <c r="C61" s="151"/>
      <c r="D61" s="151"/>
      <c r="E61" s="151"/>
      <c r="F61" s="151"/>
      <c r="G61" s="151"/>
      <c r="H61" s="151"/>
      <c r="I61" s="151"/>
      <c r="J61" s="151"/>
      <c r="K61" s="151"/>
      <c r="L61" s="151"/>
      <c r="M61" s="151"/>
      <c r="N61" s="151"/>
      <c r="O61" s="190">
        <f>IF($C$15&lt;0,O56,IF(O56&gt;O59,O56,O59))</f>
        <v>34.059999999999995</v>
      </c>
      <c r="P61" s="160"/>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5">
      <c r="A62" s="147"/>
    </row>
    <row r="63" spans="1:221" ht="13" x14ac:dyDescent="0.3">
      <c r="A63" s="147"/>
      <c r="I63" s="166" t="s">
        <v>120</v>
      </c>
      <c r="J63" s="166"/>
      <c r="K63" s="166"/>
      <c r="L63" s="191"/>
      <c r="M63" s="191"/>
      <c r="N63" s="191"/>
      <c r="O63" s="191">
        <f>ROUND(IF($C$15&lt;1,0,O56/($C$15*100)*10000),2)</f>
        <v>0</v>
      </c>
      <c r="P63" s="37" t="s">
        <v>86</v>
      </c>
    </row>
    <row r="64" spans="1:221" ht="13" x14ac:dyDescent="0.3">
      <c r="A64" s="147"/>
      <c r="I64" s="242"/>
      <c r="J64" s="78"/>
      <c r="K64" s="78"/>
      <c r="L64" s="78"/>
      <c r="M64" s="78"/>
      <c r="N64" s="78"/>
      <c r="O64" s="243"/>
      <c r="P64" s="25"/>
    </row>
    <row r="65" spans="1:1" x14ac:dyDescent="0.25">
      <c r="A65" s="147"/>
    </row>
    <row r="66" spans="1:1" x14ac:dyDescent="0.25">
      <c r="A66" s="147"/>
    </row>
    <row r="67" spans="1:1" x14ac:dyDescent="0.25">
      <c r="A67" s="147"/>
    </row>
    <row r="68" spans="1:1" x14ac:dyDescent="0.25">
      <c r="A68" s="147"/>
    </row>
    <row r="69" spans="1:1" x14ac:dyDescent="0.25">
      <c r="A69" s="147"/>
    </row>
    <row r="70" spans="1:1" x14ac:dyDescent="0.25">
      <c r="A70" s="147"/>
    </row>
    <row r="71" spans="1:1" x14ac:dyDescent="0.25">
      <c r="A71" s="147"/>
    </row>
  </sheetData>
  <sheetProtection algorithmName="SHA-512" hashValue="lyQ1KjAqdu6UF7v8HZ7dOsxDCiTbBulGNb7U+XbXe8Z81rsGEHHzGPUbTfIsjP2/y4MbHX9pKlsAj/qyh3OELw==" saltValue="a0Uv7wP+40HjkEml0DNQDg==" spinCount="100000" sheet="1" objects="1" scenarios="1"/>
  <mergeCells count="9">
    <mergeCell ref="A1:P1"/>
    <mergeCell ref="A2:P2"/>
    <mergeCell ref="G17:J17"/>
    <mergeCell ref="L17:O17"/>
    <mergeCell ref="A12:I12"/>
    <mergeCell ref="A7:K7"/>
    <mergeCell ref="A3:P3"/>
    <mergeCell ref="A4:P4"/>
    <mergeCell ref="A6:Q6"/>
  </mergeCells>
  <phoneticPr fontId="0" type="noConversion"/>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4513"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64514" r:id="rId5" name="Button 2">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64515"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64516"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64517" r:id="rId8" name="Button 5">
              <controlPr defaultSize="0" print="0" autoFill="0" autoPict="0" macro="[0]!Info">
                <anchor moveWithCells="1">
                  <from>
                    <xdr:col>14</xdr:col>
                    <xdr:colOff>374650</xdr:colOff>
                    <xdr:row>77</xdr:row>
                    <xdr:rowOff>12700</xdr:rowOff>
                  </from>
                  <to>
                    <xdr:col>14</xdr:col>
                    <xdr:colOff>723900</xdr:colOff>
                    <xdr:row>78</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4144-6EC1-4B10-9FB4-564E7C8DA894}">
  <dimension ref="A1:IB66"/>
  <sheetViews>
    <sheetView showGridLines="0" topLeftCell="C40" zoomScale="80" zoomScaleNormal="80" workbookViewId="0">
      <selection activeCell="H31" sqref="H31"/>
    </sheetView>
  </sheetViews>
  <sheetFormatPr defaultRowHeight="12.5" x14ac:dyDescent="0.25"/>
  <cols>
    <col min="1" max="1" width="31" customWidth="1"/>
    <col min="2" max="2" width="2.1796875" customWidth="1"/>
    <col min="3" max="3" width="21.1796875" customWidth="1"/>
    <col min="4" max="4" width="15.26953125" customWidth="1"/>
    <col min="5" max="5" width="10.1796875" customWidth="1"/>
    <col min="6" max="6" width="5.54296875" customWidth="1"/>
    <col min="7" max="8" width="13.26953125" customWidth="1"/>
    <col min="9" max="9" width="14.54296875" customWidth="1"/>
    <col min="10" max="10" width="13.26953125" customWidth="1"/>
    <col min="11" max="11" width="7" customWidth="1"/>
    <col min="12" max="12" width="15.1796875" customWidth="1"/>
    <col min="13" max="13" width="17.26953125" bestFit="1" customWidth="1"/>
    <col min="14" max="14" width="16.7265625" customWidth="1"/>
    <col min="15" max="15" width="19.1796875" bestFit="1" customWidth="1"/>
    <col min="16" max="16" width="12.81640625" bestFit="1" customWidth="1"/>
    <col min="18" max="18" width="9.17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row>
    <row r="2" spans="1:30" ht="20" x14ac:dyDescent="0.4">
      <c r="A2" s="436" t="s">
        <v>122</v>
      </c>
      <c r="B2" s="436"/>
      <c r="C2" s="436"/>
      <c r="D2" s="436"/>
      <c r="E2" s="436"/>
      <c r="F2" s="436"/>
      <c r="G2" s="436"/>
      <c r="H2" s="436"/>
      <c r="I2" s="436"/>
      <c r="J2" s="436"/>
      <c r="K2" s="436"/>
      <c r="L2" s="436"/>
      <c r="M2" s="436"/>
      <c r="N2" s="436"/>
      <c r="O2" s="436"/>
      <c r="P2" s="436"/>
    </row>
    <row r="3" spans="1:30" ht="18" x14ac:dyDescent="0.4">
      <c r="A3" s="452" t="s">
        <v>83</v>
      </c>
      <c r="B3" s="452"/>
      <c r="C3" s="452"/>
      <c r="D3" s="452"/>
      <c r="E3" s="452"/>
      <c r="F3" s="452"/>
      <c r="G3" s="452"/>
      <c r="H3" s="452"/>
      <c r="I3" s="452"/>
      <c r="J3" s="452"/>
      <c r="K3" s="452"/>
      <c r="L3" s="452"/>
      <c r="M3" s="452"/>
      <c r="N3" s="452"/>
      <c r="O3" s="452"/>
      <c r="P3" s="452"/>
    </row>
    <row r="4" spans="1:30"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30" ht="15.5" x14ac:dyDescent="0.35">
      <c r="A5" s="75"/>
      <c r="B5" s="75"/>
      <c r="C5" s="75"/>
      <c r="D5" s="75"/>
      <c r="E5" s="75"/>
      <c r="F5" s="75"/>
      <c r="G5" s="75"/>
      <c r="H5" s="75"/>
      <c r="I5" s="75"/>
      <c r="J5" s="75"/>
      <c r="K5" s="75"/>
    </row>
    <row r="6" spans="1:30" x14ac:dyDescent="0.25">
      <c r="A6" s="414">
        <f ca="1">TODAY()</f>
        <v>45378</v>
      </c>
      <c r="B6" s="210" t="s">
        <v>239</v>
      </c>
      <c r="C6" s="414"/>
      <c r="D6" s="414"/>
      <c r="E6" s="414"/>
      <c r="F6" s="414"/>
      <c r="G6" s="414"/>
      <c r="H6" s="414"/>
      <c r="I6" s="414"/>
    </row>
    <row r="7" spans="1:30" ht="25" x14ac:dyDescent="0.5">
      <c r="A7" s="453"/>
      <c r="B7" s="453"/>
      <c r="C7" s="453"/>
      <c r="D7" s="453"/>
      <c r="E7" s="453"/>
      <c r="F7" s="453"/>
      <c r="G7" s="453"/>
      <c r="H7" s="453"/>
      <c r="I7" s="453"/>
      <c r="J7" s="453"/>
      <c r="K7" s="453"/>
      <c r="L7" s="453"/>
      <c r="M7" s="453"/>
      <c r="N7" s="453"/>
      <c r="O7" s="453"/>
      <c r="P7" s="453"/>
    </row>
    <row r="8" spans="1:30" x14ac:dyDescent="0.25">
      <c r="C8" s="18"/>
      <c r="D8" s="18"/>
      <c r="E8" s="18"/>
      <c r="F8" s="18"/>
      <c r="G8" s="18"/>
      <c r="H8" s="18"/>
      <c r="I8" s="18"/>
      <c r="J8" s="18"/>
      <c r="K8" s="18"/>
    </row>
    <row r="9" spans="1:30" ht="15.5" x14ac:dyDescent="0.35">
      <c r="A9" s="23" t="s">
        <v>2</v>
      </c>
      <c r="B9" s="24"/>
      <c r="C9" s="25">
        <f>'Customer Info'!B7</f>
        <v>0</v>
      </c>
      <c r="I9" s="26"/>
    </row>
    <row r="10" spans="1:30" ht="15.5" x14ac:dyDescent="0.35">
      <c r="A10" s="27" t="s">
        <v>26</v>
      </c>
      <c r="B10" s="24"/>
      <c r="C10" s="25">
        <f>'Customer Info'!B8</f>
        <v>0</v>
      </c>
    </row>
    <row r="11" spans="1:30" ht="13" x14ac:dyDescent="0.3">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ht="13" x14ac:dyDescent="0.3">
      <c r="A12" s="446"/>
      <c r="B12" s="446"/>
      <c r="C12" s="446"/>
      <c r="D12" s="446"/>
      <c r="E12" s="446"/>
      <c r="F12" s="446"/>
      <c r="G12" s="446"/>
      <c r="H12" s="446"/>
      <c r="I12" s="446"/>
      <c r="J12" s="92"/>
      <c r="K12" s="92"/>
      <c r="L12" s="128"/>
      <c r="M12" s="128"/>
      <c r="N12" s="128"/>
      <c r="O12" s="128"/>
      <c r="P12" s="12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ht="13" x14ac:dyDescent="0.3">
      <c r="A13" s="28" t="s">
        <v>27</v>
      </c>
      <c r="B13" s="22"/>
      <c r="C13" s="22"/>
      <c r="D13" s="22"/>
      <c r="E13" s="22"/>
      <c r="F13" s="22"/>
      <c r="G13" s="22"/>
      <c r="H13" s="22"/>
      <c r="I13" s="22"/>
      <c r="R13" s="3" t="s">
        <v>196</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5">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5">
      <c r="A15" s="31" t="s">
        <v>51</v>
      </c>
      <c r="B15" s="31"/>
      <c r="C15" s="32">
        <f>IF('Customer Info'!B21+'Customer Info'!B22-'Customer Info'!B23&lt;0,0,'Customer Info'!B21+'Customer Info'!B22-'Customer Info'!B23)</f>
        <v>0</v>
      </c>
      <c r="D15" s="31" t="s">
        <v>41</v>
      </c>
      <c r="E15" s="31"/>
      <c r="F15" s="33"/>
      <c r="G15" s="31"/>
      <c r="H15" s="31"/>
      <c r="I15" s="31"/>
      <c r="R15" s="78"/>
      <c r="S15" s="193"/>
      <c r="T15" s="193"/>
      <c r="U15" s="193"/>
      <c r="V15" s="193"/>
      <c r="W15" s="193"/>
      <c r="X15" s="193"/>
      <c r="Y15" s="193"/>
      <c r="Z15" s="193"/>
      <c r="AA15" s="193"/>
      <c r="AB15" s="193"/>
      <c r="AC15" s="193"/>
      <c r="AD15" s="193"/>
    </row>
    <row r="16" spans="1:30" ht="13" x14ac:dyDescent="0.3">
      <c r="A16" s="31" t="s">
        <v>235</v>
      </c>
      <c r="B16" s="31"/>
      <c r="C16" s="32">
        <f>'Customer Info'!B21</f>
        <v>0</v>
      </c>
      <c r="D16" s="31" t="s">
        <v>41</v>
      </c>
      <c r="E16" s="31"/>
      <c r="F16" s="33"/>
      <c r="G16" s="23" t="s">
        <v>15</v>
      </c>
      <c r="H16" s="31"/>
    </row>
    <row r="17" spans="1:221" ht="13" x14ac:dyDescent="0.3">
      <c r="A17" s="31" t="s">
        <v>236</v>
      </c>
      <c r="B17" s="31"/>
      <c r="C17" s="32">
        <f>'Customer Info'!B22</f>
        <v>0</v>
      </c>
      <c r="D17" s="264" t="s">
        <v>41</v>
      </c>
      <c r="E17" s="33"/>
      <c r="F17" s="33"/>
      <c r="G17" s="23" t="s">
        <v>15</v>
      </c>
      <c r="H17" s="31"/>
      <c r="I17" s="52" t="s">
        <v>15</v>
      </c>
    </row>
    <row r="19" spans="1:221" ht="13" x14ac:dyDescent="0.3">
      <c r="A19" s="28" t="s">
        <v>31</v>
      </c>
      <c r="B19" s="22"/>
      <c r="C19" s="22"/>
      <c r="D19" s="22"/>
      <c r="E19" s="22"/>
      <c r="F19" s="22"/>
      <c r="G19" s="447" t="s">
        <v>67</v>
      </c>
      <c r="H19" s="448"/>
      <c r="I19" s="448"/>
      <c r="J19" s="449"/>
      <c r="K19" s="22"/>
      <c r="L19" s="450" t="s">
        <v>68</v>
      </c>
      <c r="M19" s="450"/>
      <c r="N19" s="450"/>
      <c r="O19" s="450"/>
    </row>
    <row r="20" spans="1:221" ht="13" x14ac:dyDescent="0.3">
      <c r="A20" s="18"/>
      <c r="B20" s="18"/>
      <c r="C20" s="18"/>
      <c r="D20" s="18"/>
      <c r="E20" s="18"/>
      <c r="F20" s="18"/>
      <c r="G20" s="8" t="s">
        <v>64</v>
      </c>
      <c r="H20" s="8" t="s">
        <v>65</v>
      </c>
      <c r="I20" s="8" t="s">
        <v>66</v>
      </c>
      <c r="J20" s="112" t="s">
        <v>34</v>
      </c>
      <c r="K20" s="18"/>
      <c r="L20" s="415" t="s">
        <v>64</v>
      </c>
      <c r="M20" s="415" t="s">
        <v>65</v>
      </c>
      <c r="N20" s="415" t="s">
        <v>66</v>
      </c>
      <c r="O20" s="132" t="s">
        <v>34</v>
      </c>
      <c r="P20" s="43" t="s">
        <v>56</v>
      </c>
    </row>
    <row r="21" spans="1:221" x14ac:dyDescent="0.25">
      <c r="A21" t="s">
        <v>32</v>
      </c>
      <c r="G21" s="86"/>
      <c r="H21" s="86"/>
      <c r="I21" s="86">
        <v>9.4</v>
      </c>
      <c r="J21" s="86">
        <f>SUM(G21:I21)</f>
        <v>9.4</v>
      </c>
      <c r="L21" s="88"/>
      <c r="M21" s="88"/>
      <c r="N21" s="88">
        <f>I21</f>
        <v>9.4</v>
      </c>
      <c r="O21" s="209">
        <f>SUM(L21:N21)</f>
        <v>9.4</v>
      </c>
      <c r="P21" s="245">
        <v>44531</v>
      </c>
    </row>
    <row r="22" spans="1:221" x14ac:dyDescent="0.25">
      <c r="A22" s="3" t="s">
        <v>304</v>
      </c>
      <c r="D22" s="1">
        <f>C15</f>
        <v>0</v>
      </c>
      <c r="E22" s="35" t="s">
        <v>41</v>
      </c>
      <c r="F22" s="4" t="s">
        <v>8</v>
      </c>
      <c r="G22" s="84"/>
      <c r="H22" s="84"/>
      <c r="I22" s="84">
        <v>2.05802E-2</v>
      </c>
      <c r="J22" s="84">
        <f>SUM(G22:I22)</f>
        <v>2.05802E-2</v>
      </c>
      <c r="K22" s="36" t="s">
        <v>42</v>
      </c>
      <c r="L22" s="87"/>
      <c r="M22" s="87"/>
      <c r="N22" s="87">
        <f>IF(C15&lt;0,0,ROUND($D22*I22,2))</f>
        <v>0</v>
      </c>
      <c r="O22" s="209">
        <f>SUM(L22:N22)</f>
        <v>0</v>
      </c>
      <c r="P22" s="245">
        <v>44531</v>
      </c>
    </row>
    <row r="23" spans="1:221" ht="13" x14ac:dyDescent="0.3">
      <c r="A23" s="37" t="s">
        <v>50</v>
      </c>
      <c r="B23" s="37"/>
      <c r="C23" s="37"/>
      <c r="D23" s="38"/>
      <c r="E23" s="38"/>
      <c r="F23" s="37"/>
      <c r="G23" s="37"/>
      <c r="H23" s="37"/>
      <c r="I23" s="37"/>
      <c r="J23" s="37"/>
      <c r="K23" s="39"/>
      <c r="L23" s="40"/>
      <c r="M23" s="40"/>
      <c r="N23" s="40">
        <f>SUM(N21:N22)</f>
        <v>9.4</v>
      </c>
      <c r="O23" s="40">
        <f>SUM(O21:O22)</f>
        <v>9.4</v>
      </c>
    </row>
    <row r="24" spans="1:221" ht="13" x14ac:dyDescent="0.3">
      <c r="A24" s="89"/>
      <c r="B24" s="89"/>
      <c r="C24" s="90"/>
      <c r="D24" s="90"/>
      <c r="E24" s="90"/>
      <c r="F24" s="90"/>
      <c r="G24" s="91"/>
      <c r="H24" s="91"/>
      <c r="I24" s="91"/>
      <c r="J24" s="91"/>
      <c r="K24" s="89"/>
      <c r="L24" s="89"/>
      <c r="M24" s="89"/>
      <c r="N24" s="89"/>
      <c r="O24" s="89"/>
      <c r="P24" s="89"/>
    </row>
    <row r="25" spans="1:221" ht="13" x14ac:dyDescent="0.3">
      <c r="A25" s="148" t="s">
        <v>69</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78</v>
      </c>
      <c r="B27" s="176"/>
      <c r="C27" s="176"/>
      <c r="D27" s="100">
        <f>IF($C$15&lt;0,0,IF($C$15&gt;833000,833000,$C$15))</f>
        <v>0</v>
      </c>
      <c r="E27" s="101" t="s">
        <v>41</v>
      </c>
      <c r="F27" s="102" t="s">
        <v>8</v>
      </c>
      <c r="G27" s="103"/>
      <c r="H27" s="103"/>
      <c r="I27" s="103">
        <f>'Rider Rates'!$B$4</f>
        <v>5.9216E-3</v>
      </c>
      <c r="J27" s="103">
        <f t="shared" ref="J27:J48" si="0">SUM(G27:I27)</f>
        <v>5.9216E-3</v>
      </c>
      <c r="K27" s="104" t="s">
        <v>42</v>
      </c>
      <c r="L27" s="105"/>
      <c r="M27" s="105"/>
      <c r="N27" s="105">
        <f t="shared" ref="N27:N32" si="1">ROUND(D27*I27,2)</f>
        <v>0</v>
      </c>
      <c r="O27" s="105">
        <f t="shared" ref="O27:O49" si="2">SUM(L27:N27)</f>
        <v>0</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79</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96</v>
      </c>
      <c r="B29" s="78"/>
      <c r="C29" s="78"/>
      <c r="D29" s="100">
        <f>IF('Customer Info'!$C$32=TRUE,0,IF($C$15&lt;0,0,IF($C$15&gt;2000,2000,$C$15)))</f>
        <v>0</v>
      </c>
      <c r="E29" s="101" t="s">
        <v>41</v>
      </c>
      <c r="F29" s="102" t="s">
        <v>8</v>
      </c>
      <c r="G29" s="103"/>
      <c r="H29" s="103"/>
      <c r="I29" s="177">
        <f>'Rider Rates'!$B$8</f>
        <v>4.6499999999999996E-3</v>
      </c>
      <c r="J29" s="177">
        <f t="shared" si="0"/>
        <v>4.6499999999999996E-3</v>
      </c>
      <c r="K29" s="104" t="s">
        <v>42</v>
      </c>
      <c r="L29" s="105"/>
      <c r="M29" s="105"/>
      <c r="N29" s="105">
        <f t="shared" si="1"/>
        <v>0</v>
      </c>
      <c r="O29" s="105">
        <f t="shared" si="2"/>
        <v>0</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99" t="s">
        <v>97</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98</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10" t="s">
        <v>160</v>
      </c>
      <c r="B32" s="78"/>
      <c r="C32" s="78"/>
      <c r="D32" s="100">
        <f>IF($C$15&lt;0,0,$C$15)</f>
        <v>0</v>
      </c>
      <c r="E32" s="101" t="s">
        <v>41</v>
      </c>
      <c r="F32" s="102" t="s">
        <v>8</v>
      </c>
      <c r="G32" s="103"/>
      <c r="H32" s="103"/>
      <c r="I32" s="103">
        <f>'Rider Rates'!$B$16</f>
        <v>0</v>
      </c>
      <c r="J32" s="103">
        <f>SUM(G32:I32)</f>
        <v>0</v>
      </c>
      <c r="K32" s="104" t="s">
        <v>42</v>
      </c>
      <c r="L32" s="105"/>
      <c r="M32" s="105"/>
      <c r="N32" s="105">
        <f t="shared" si="1"/>
        <v>0</v>
      </c>
      <c r="O32" s="105">
        <f t="shared" si="2"/>
        <v>0</v>
      </c>
      <c r="P32" s="245">
        <f>'Rider Rates'!$D$16</f>
        <v>45197</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ht="13" x14ac:dyDescent="0.3">
      <c r="A33" s="210" t="s">
        <v>247</v>
      </c>
      <c r="B33" s="78"/>
      <c r="C33" s="78"/>
      <c r="D33" s="195">
        <f>$N$23</f>
        <v>9.4</v>
      </c>
      <c r="E33" s="101" t="s">
        <v>121</v>
      </c>
      <c r="F33" s="102" t="s">
        <v>8</v>
      </c>
      <c r="G33" s="103"/>
      <c r="H33" s="103"/>
      <c r="I33" s="178">
        <f>'Rider Rates'!$B$18+'Rider Rates'!$E$18</f>
        <v>0</v>
      </c>
      <c r="J33" s="178">
        <f>SUM(G33:I33)</f>
        <v>0</v>
      </c>
      <c r="K33" s="104"/>
      <c r="L33" s="105"/>
      <c r="M33" s="105"/>
      <c r="N33" s="105">
        <f>ROUND($D$33*'Rider Rates'!$B$18,2)+ROUND($D$33*'Rider Rates'!$E$18,2)</f>
        <v>0</v>
      </c>
      <c r="O33" s="105">
        <f t="shared" si="2"/>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10" t="s">
        <v>195</v>
      </c>
      <c r="B34" s="78"/>
      <c r="C34" s="78"/>
      <c r="D34" s="100">
        <f>C16+C17</f>
        <v>0</v>
      </c>
      <c r="E34" s="101" t="s">
        <v>41</v>
      </c>
      <c r="F34" s="102" t="s">
        <v>8</v>
      </c>
      <c r="G34" s="103">
        <f>'Rider Rates'!B22</f>
        <v>0.10589</v>
      </c>
      <c r="H34" s="103"/>
      <c r="I34" s="103"/>
      <c r="J34" s="237">
        <f>SUM(G34:H34)</f>
        <v>0.10589</v>
      </c>
      <c r="K34" s="104" t="s">
        <v>42</v>
      </c>
      <c r="L34" s="105">
        <f>ROUND(D34*G34,2)</f>
        <v>0</v>
      </c>
      <c r="M34" s="105"/>
      <c r="N34" s="105"/>
      <c r="O34" s="105">
        <f t="shared" si="2"/>
        <v>0</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10" t="s">
        <v>165</v>
      </c>
      <c r="B35" s="78"/>
      <c r="C35" s="78"/>
      <c r="D35" s="100">
        <f>C16</f>
        <v>0</v>
      </c>
      <c r="E35" s="101" t="s">
        <v>41</v>
      </c>
      <c r="F35" s="102" t="s">
        <v>8</v>
      </c>
      <c r="G35" s="103">
        <f>'Rider Rates'!B38</f>
        <v>2.7757E-2</v>
      </c>
      <c r="H35" s="103"/>
      <c r="I35" s="103"/>
      <c r="J35" s="237">
        <f>SUM(G35:H35)</f>
        <v>2.7757E-2</v>
      </c>
      <c r="K35" s="104" t="s">
        <v>42</v>
      </c>
      <c r="L35" s="105">
        <f>ROUND(D35*G35,2)</f>
        <v>0</v>
      </c>
      <c r="M35" s="105"/>
      <c r="N35" s="105"/>
      <c r="O35" s="105">
        <f t="shared" si="2"/>
        <v>0</v>
      </c>
      <c r="P35" s="245">
        <f>'Rider Rates'!$D$38</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229</v>
      </c>
      <c r="B36" s="78"/>
      <c r="C36" s="78"/>
      <c r="D36" s="100">
        <f>C17</f>
        <v>0</v>
      </c>
      <c r="E36" s="101" t="s">
        <v>41</v>
      </c>
      <c r="F36" s="249" t="s">
        <v>8</v>
      </c>
      <c r="G36" s="103">
        <f>'Rider Rates'!B39</f>
        <v>0</v>
      </c>
      <c r="H36" s="103"/>
      <c r="I36" s="103"/>
      <c r="J36" s="237">
        <f>SUM(G36:H36)</f>
        <v>0</v>
      </c>
      <c r="K36" s="104" t="s">
        <v>42</v>
      </c>
      <c r="L36" s="105">
        <f>ROUND(D36*G36,2)</f>
        <v>0</v>
      </c>
      <c r="M36" s="105"/>
      <c r="N36" s="105"/>
      <c r="O36" s="105">
        <f t="shared" si="2"/>
        <v>0</v>
      </c>
      <c r="P36" s="245">
        <f>'Rider Rates'!D39</f>
        <v>45078</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10" t="s">
        <v>202</v>
      </c>
      <c r="B37" s="78"/>
      <c r="C37" s="78"/>
      <c r="D37" s="100">
        <f>C16+C17</f>
        <v>0</v>
      </c>
      <c r="E37" s="101" t="s">
        <v>41</v>
      </c>
      <c r="F37" s="102" t="s">
        <v>8</v>
      </c>
      <c r="G37" s="103">
        <f>'Rider Rates'!$B$46</f>
        <v>-4.8640000000000001E-4</v>
      </c>
      <c r="H37" s="103"/>
      <c r="I37" s="103"/>
      <c r="J37" s="237">
        <f>SUM(G37:H37)</f>
        <v>-4.8640000000000001E-4</v>
      </c>
      <c r="K37" s="104" t="s">
        <v>42</v>
      </c>
      <c r="L37" s="105">
        <f>ROUND(D37*G37,2)</f>
        <v>0</v>
      </c>
      <c r="M37" s="105"/>
      <c r="N37" s="105"/>
      <c r="O37" s="105">
        <f t="shared" si="2"/>
        <v>0</v>
      </c>
      <c r="P37" s="245">
        <f>'Rider Rates'!$D$46</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241" t="s">
        <v>220</v>
      </c>
      <c r="B38" s="78"/>
      <c r="C38" s="78"/>
      <c r="D38" s="100">
        <f>IF($C$15&lt;0,0,IF($C$15&gt;833000,833000,$C$15))</f>
        <v>0</v>
      </c>
      <c r="E38" s="101" t="s">
        <v>41</v>
      </c>
      <c r="F38" s="102" t="s">
        <v>8</v>
      </c>
      <c r="G38" s="103"/>
      <c r="H38" s="103"/>
      <c r="I38" s="103">
        <f>'Rider Rates'!D50</f>
        <v>1.7826999999999999E-3</v>
      </c>
      <c r="J38" s="103">
        <f>SUM(G38:I38)</f>
        <v>1.7826999999999999E-3</v>
      </c>
      <c r="K38" s="104" t="s">
        <v>42</v>
      </c>
      <c r="L38" s="105"/>
      <c r="M38" s="105"/>
      <c r="N38" s="105">
        <f>D38*J38</f>
        <v>0</v>
      </c>
      <c r="O38" s="105">
        <f t="shared" si="2"/>
        <v>0</v>
      </c>
      <c r="P38" s="245">
        <f>'Rider Rates'!E50</f>
        <v>45292</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210" t="s">
        <v>198</v>
      </c>
      <c r="B39" s="78"/>
      <c r="C39" s="78"/>
      <c r="D39" s="100">
        <f>IF($C$15&lt;0,0,$C$15)</f>
        <v>0</v>
      </c>
      <c r="E39" s="113" t="s">
        <v>41</v>
      </c>
      <c r="F39" s="102" t="s">
        <v>8</v>
      </c>
      <c r="G39" s="103"/>
      <c r="H39" s="103">
        <f>'Rider Rates'!$B$57</f>
        <v>2.3467399999999999E-2</v>
      </c>
      <c r="I39" s="103"/>
      <c r="J39" s="103">
        <f>SUM(G39:I39)</f>
        <v>2.3467399999999999E-2</v>
      </c>
      <c r="K39" s="104" t="s">
        <v>42</v>
      </c>
      <c r="L39" s="105"/>
      <c r="M39" s="105">
        <f>ROUND(D39*H39,2)</f>
        <v>0</v>
      </c>
      <c r="N39" s="205"/>
      <c r="O39" s="105">
        <f t="shared" si="2"/>
        <v>0</v>
      </c>
      <c r="P39" s="245">
        <f>'Rider Rates'!$D$57</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99" t="s">
        <v>95</v>
      </c>
      <c r="B40" s="78"/>
      <c r="C40" s="78"/>
      <c r="D40" s="100">
        <f>IF('Customer Info'!C34=TRUE,0,IF($C$15&lt;0,0,$C$15))</f>
        <v>0</v>
      </c>
      <c r="E40" s="101" t="s">
        <v>41</v>
      </c>
      <c r="F40" s="102" t="s">
        <v>8</v>
      </c>
      <c r="G40" s="103"/>
      <c r="H40" s="103"/>
      <c r="I40" s="103">
        <f>'Rider Rates'!$B$69+'Rider Rates'!$C$69</f>
        <v>0</v>
      </c>
      <c r="J40" s="103">
        <f t="shared" si="0"/>
        <v>0</v>
      </c>
      <c r="K40" s="104" t="s">
        <v>42</v>
      </c>
      <c r="L40" s="105"/>
      <c r="M40" s="105"/>
      <c r="N40" s="105">
        <f>ROUND($D$40*'Rider Rates'!$B$69,2)+ROUND($D$40*'Rider Rates'!$C$69,2)</f>
        <v>0</v>
      </c>
      <c r="O40" s="105">
        <f t="shared" si="2"/>
        <v>0</v>
      </c>
      <c r="P40" s="245">
        <f>'Rider Rates'!$D$69</f>
        <v>44531</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99" t="s">
        <v>95</v>
      </c>
      <c r="B41" s="78"/>
      <c r="C41" s="78"/>
      <c r="D41" s="100"/>
      <c r="E41" s="101" t="s">
        <v>114</v>
      </c>
      <c r="F41" s="102"/>
      <c r="G41" s="103"/>
      <c r="H41" s="103"/>
      <c r="I41" s="196">
        <f>'Rider Rates'!$B$76</f>
        <v>0</v>
      </c>
      <c r="J41" s="196">
        <f>IF('Customer Info'!C34=TRUE,0,SUM(G41:I41))</f>
        <v>0</v>
      </c>
      <c r="K41" s="104"/>
      <c r="L41" s="105"/>
      <c r="M41" s="105"/>
      <c r="N41" s="105">
        <f>J41</f>
        <v>0</v>
      </c>
      <c r="O41" s="105">
        <f>SUM(L41:N41)</f>
        <v>0</v>
      </c>
      <c r="P41" s="245">
        <v>44531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ht="13" x14ac:dyDescent="0.3">
      <c r="A42" s="99" t="s">
        <v>80</v>
      </c>
      <c r="B42" s="78"/>
      <c r="C42" s="78"/>
      <c r="D42" s="195">
        <f>$N$23</f>
        <v>9.4</v>
      </c>
      <c r="E42" s="101" t="s">
        <v>121</v>
      </c>
      <c r="F42" s="102" t="s">
        <v>8</v>
      </c>
      <c r="G42" s="111"/>
      <c r="H42" s="112"/>
      <c r="I42" s="120">
        <f>'Rider Rates'!$B$84</f>
        <v>2.9347000000000002E-2</v>
      </c>
      <c r="J42" s="120">
        <f t="shared" si="0"/>
        <v>2.9347000000000002E-2</v>
      </c>
      <c r="K42" s="104"/>
      <c r="L42" s="105"/>
      <c r="M42" s="105"/>
      <c r="N42" s="105">
        <f>ROUND(D42*I42,2)</f>
        <v>0.28000000000000003</v>
      </c>
      <c r="O42" s="105">
        <f t="shared" si="2"/>
        <v>0.28000000000000003</v>
      </c>
      <c r="P42" s="245">
        <f>'Rider Rates'!$D$84</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99" t="s">
        <v>81</v>
      </c>
      <c r="B43" s="78"/>
      <c r="C43" s="78"/>
      <c r="D43" s="195">
        <f>$N$23</f>
        <v>9.4</v>
      </c>
      <c r="E43" s="101" t="s">
        <v>121</v>
      </c>
      <c r="F43" s="102" t="s">
        <v>8</v>
      </c>
      <c r="G43" s="114"/>
      <c r="H43" s="115"/>
      <c r="I43" s="120">
        <f>'Rider Rates'!$B$86</f>
        <v>6.6985699999999995E-2</v>
      </c>
      <c r="J43" s="120">
        <f t="shared" si="0"/>
        <v>6.6985699999999995E-2</v>
      </c>
      <c r="K43" s="104"/>
      <c r="L43" s="105"/>
      <c r="M43" s="105"/>
      <c r="N43" s="105">
        <f>ROUND(D43*I43,2)</f>
        <v>0.63</v>
      </c>
      <c r="O43" s="105">
        <f t="shared" si="2"/>
        <v>0.63</v>
      </c>
      <c r="P43" s="245">
        <f>'Rider Rates'!$D$86</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216</v>
      </c>
      <c r="B44" s="78"/>
      <c r="C44" s="78"/>
      <c r="D44" s="195"/>
      <c r="E44" s="113" t="s">
        <v>114</v>
      </c>
      <c r="F44" s="106"/>
      <c r="G44" s="114"/>
      <c r="H44" s="115"/>
      <c r="I44" s="196">
        <f>'Rider Rates'!$B$90</f>
        <v>15.91</v>
      </c>
      <c r="J44" s="196">
        <f t="shared" si="0"/>
        <v>15.91</v>
      </c>
      <c r="K44" s="104"/>
      <c r="L44" s="105"/>
      <c r="M44" s="105"/>
      <c r="N44" s="105">
        <f>I44</f>
        <v>15.91</v>
      </c>
      <c r="O44" s="105">
        <f t="shared" si="2"/>
        <v>15.91</v>
      </c>
      <c r="P44" s="245">
        <f>'Rider Rates'!$D$90</f>
        <v>45351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210" t="s">
        <v>249</v>
      </c>
      <c r="B45" s="78"/>
      <c r="C45" s="78"/>
      <c r="D45" s="100">
        <f>IF($C$15&lt;0,0,$C$15)</f>
        <v>0</v>
      </c>
      <c r="E45" s="101" t="s">
        <v>41</v>
      </c>
      <c r="F45" s="102" t="s">
        <v>8</v>
      </c>
      <c r="G45" s="103"/>
      <c r="H45" s="103"/>
      <c r="I45" s="103"/>
      <c r="J45" s="103">
        <f>'Rider Rates'!$B$94</f>
        <v>0</v>
      </c>
      <c r="K45" s="104" t="s">
        <v>42</v>
      </c>
      <c r="L45" s="105"/>
      <c r="M45" s="105"/>
      <c r="N45" s="105"/>
      <c r="O45" s="105">
        <f>ROUND($D45*('Rider Rates'!B$94),2)</f>
        <v>0</v>
      </c>
      <c r="P45" s="245">
        <f>'Rider Rates'!$D$94</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99" t="s">
        <v>157</v>
      </c>
      <c r="B46" s="78"/>
      <c r="C46" s="78"/>
      <c r="D46" s="195">
        <f>$N$23</f>
        <v>9.4</v>
      </c>
      <c r="E46" s="101" t="s">
        <v>121</v>
      </c>
      <c r="F46" s="102" t="s">
        <v>8</v>
      </c>
      <c r="G46" s="114"/>
      <c r="H46" s="115"/>
      <c r="I46" s="120">
        <f>'Rider Rates'!$B$104</f>
        <v>0.21398439999999999</v>
      </c>
      <c r="J46" s="120">
        <f t="shared" si="0"/>
        <v>0.21398439999999999</v>
      </c>
      <c r="K46" s="104"/>
      <c r="L46" s="105"/>
      <c r="M46" s="105"/>
      <c r="N46" s="105">
        <f>ROUND(D46*I46,2)</f>
        <v>2.0099999999999998</v>
      </c>
      <c r="O46" s="105">
        <f t="shared" si="2"/>
        <v>2.0099999999999998</v>
      </c>
      <c r="P46" s="245">
        <f>'Rider Rates'!$D$104</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219</v>
      </c>
      <c r="B47" s="78"/>
      <c r="C47" s="78"/>
      <c r="D47" s="195"/>
      <c r="E47" s="113" t="s">
        <v>114</v>
      </c>
      <c r="F47" s="106"/>
      <c r="G47" s="114"/>
      <c r="H47" s="115"/>
      <c r="I47" s="196">
        <f>'Rider Rates'!$B$108</f>
        <v>0</v>
      </c>
      <c r="J47" s="196">
        <f t="shared" si="0"/>
        <v>0</v>
      </c>
      <c r="K47" s="104"/>
      <c r="L47" s="105"/>
      <c r="M47" s="105"/>
      <c r="N47" s="105">
        <f>I47</f>
        <v>0</v>
      </c>
      <c r="O47" s="105">
        <f t="shared" si="2"/>
        <v>0</v>
      </c>
      <c r="P47" s="245">
        <f>'Rider Rates'!$D$108</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ht="13" x14ac:dyDescent="0.3">
      <c r="A48" s="210" t="s">
        <v>227</v>
      </c>
      <c r="B48" s="78"/>
      <c r="C48" s="78"/>
      <c r="D48" s="195"/>
      <c r="E48" s="113" t="s">
        <v>114</v>
      </c>
      <c r="F48" s="106"/>
      <c r="G48" s="114"/>
      <c r="H48" s="115"/>
      <c r="I48" s="260">
        <f>'Rider Rates'!B121</f>
        <v>5.83</v>
      </c>
      <c r="J48" s="196">
        <f t="shared" si="0"/>
        <v>5.83</v>
      </c>
      <c r="K48" s="104"/>
      <c r="L48" s="105"/>
      <c r="M48" s="105"/>
      <c r="N48" s="262">
        <f>I48</f>
        <v>5.83</v>
      </c>
      <c r="O48" s="105">
        <f t="shared" si="2"/>
        <v>5.83</v>
      </c>
      <c r="P48" s="245">
        <f>'Rider Rates'!D121</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99" t="s">
        <v>158</v>
      </c>
      <c r="B49" s="78"/>
      <c r="C49" s="78"/>
      <c r="D49" s="100">
        <f>C16+C17</f>
        <v>0</v>
      </c>
      <c r="E49" s="101" t="s">
        <v>41</v>
      </c>
      <c r="F49" s="102" t="s">
        <v>8</v>
      </c>
      <c r="G49" s="103">
        <f>'Rider Rates'!$B$111</f>
        <v>3.8972999999999998E-3</v>
      </c>
      <c r="H49" s="103"/>
      <c r="I49" s="120"/>
      <c r="J49" s="237">
        <f>SUM(G49:H49)</f>
        <v>3.8972999999999998E-3</v>
      </c>
      <c r="K49" s="104" t="s">
        <v>42</v>
      </c>
      <c r="L49" s="105">
        <f>ROUND(D49*G49,2)</f>
        <v>0</v>
      </c>
      <c r="M49" s="105"/>
      <c r="N49" s="105"/>
      <c r="O49" s="105">
        <f t="shared" si="2"/>
        <v>0</v>
      </c>
      <c r="P49" s="245">
        <f>'Rider Rates'!$D$111</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210" t="s">
        <v>218</v>
      </c>
      <c r="B50" s="78"/>
      <c r="C50" s="78"/>
      <c r="D50" s="100">
        <f>IF($C$15&lt;1,0,$C$15)</f>
        <v>0</v>
      </c>
      <c r="E50" s="101" t="s">
        <v>41</v>
      </c>
      <c r="F50" s="249" t="s">
        <v>8</v>
      </c>
      <c r="G50" s="165"/>
      <c r="H50" s="165"/>
      <c r="I50" s="251">
        <f>'Rider Rates'!B117</f>
        <v>-6.2E-4</v>
      </c>
      <c r="J50" s="251">
        <f>SUM(G50:I50)</f>
        <v>-6.2E-4</v>
      </c>
      <c r="K50" s="104" t="s">
        <v>42</v>
      </c>
      <c r="L50" s="105"/>
      <c r="M50" s="105"/>
      <c r="N50" s="105">
        <f>D50*J50</f>
        <v>0</v>
      </c>
      <c r="O50" s="105">
        <f>SUM(L50:N50)</f>
        <v>0</v>
      </c>
      <c r="P50" s="245">
        <f>'Rider Rates'!D117</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5">
      <c r="A51" s="78" t="s">
        <v>243</v>
      </c>
      <c r="B51" s="78"/>
      <c r="C51" s="78"/>
      <c r="D51" s="100">
        <f>IF(C15&lt;0,0,IF(C15&gt;833000,833000,C15))</f>
        <v>0</v>
      </c>
      <c r="E51" s="101" t="s">
        <v>41</v>
      </c>
      <c r="F51" s="102" t="s">
        <v>8</v>
      </c>
      <c r="G51" s="267"/>
      <c r="H51" s="267"/>
      <c r="I51" s="267">
        <f>'Rider Rates'!$B$125</f>
        <v>2.9050000000000001E-4</v>
      </c>
      <c r="J51" s="267">
        <f>SUM(G51:I51)</f>
        <v>2.9050000000000001E-4</v>
      </c>
      <c r="K51" s="104" t="s">
        <v>42</v>
      </c>
      <c r="L51" s="268"/>
      <c r="M51" s="268"/>
      <c r="N51" s="268">
        <f>IF(D51*J51&gt;'Rider Rates'!$C$125,'Rider Rates'!$C$125,D51*J51)</f>
        <v>0</v>
      </c>
      <c r="O51" s="268">
        <f>SUM(L51:N51)</f>
        <v>0</v>
      </c>
      <c r="P51" s="266">
        <f>'Rider Rates'!$E$125</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5">
      <c r="A52" s="78" t="s">
        <v>244</v>
      </c>
      <c r="B52" s="78"/>
      <c r="C52" s="78"/>
      <c r="D52" s="123">
        <f>IF(C15&gt;833000,C15-833000,0)</f>
        <v>0</v>
      </c>
      <c r="E52" s="101" t="s">
        <v>41</v>
      </c>
      <c r="F52" s="102" t="s">
        <v>8</v>
      </c>
      <c r="G52" s="267"/>
      <c r="H52" s="267"/>
      <c r="I52" s="267">
        <f>'Rider Rates'!$B$126</f>
        <v>0</v>
      </c>
      <c r="J52" s="267">
        <f>SUM(G52:I52)</f>
        <v>0</v>
      </c>
      <c r="K52" s="104" t="s">
        <v>42</v>
      </c>
      <c r="L52" s="268"/>
      <c r="M52" s="268"/>
      <c r="N52" s="268">
        <f>D52*J52</f>
        <v>0</v>
      </c>
      <c r="O52" s="268">
        <f>SUM(L52:N52)</f>
        <v>0</v>
      </c>
      <c r="P52" s="266">
        <f>'Rider Rates'!$E$126</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5">
      <c r="A53" s="241" t="s">
        <v>252</v>
      </c>
      <c r="B53" s="78"/>
      <c r="C53" s="78"/>
      <c r="D53" s="100">
        <f>C15</f>
        <v>0</v>
      </c>
      <c r="E53" s="101" t="s">
        <v>41</v>
      </c>
      <c r="F53" s="249" t="s">
        <v>8</v>
      </c>
      <c r="G53" s="103"/>
      <c r="H53" s="103"/>
      <c r="I53" s="103">
        <f>'Rider Rates'!$B$130</f>
        <v>0</v>
      </c>
      <c r="J53" s="237">
        <f>SUM(G53:I53)</f>
        <v>0</v>
      </c>
      <c r="K53" s="104" t="s">
        <v>42</v>
      </c>
      <c r="L53" s="105"/>
      <c r="M53" s="105"/>
      <c r="N53" s="105">
        <f>D53*J53</f>
        <v>0</v>
      </c>
      <c r="O53" s="105">
        <f>SUM(L53:N53)</f>
        <v>0</v>
      </c>
      <c r="P53" s="245">
        <f>'Rider Rates'!$D$130</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5">
      <c r="A54" s="241" t="s">
        <v>251</v>
      </c>
      <c r="B54" s="78"/>
      <c r="C54" s="78"/>
      <c r="D54" s="100"/>
      <c r="E54" s="101" t="s">
        <v>114</v>
      </c>
      <c r="F54" s="102" t="s">
        <v>8</v>
      </c>
      <c r="G54" s="265"/>
      <c r="H54" s="265"/>
      <c r="I54" s="265">
        <f>'Rider Rates'!$B$137</f>
        <v>0</v>
      </c>
      <c r="J54" s="265">
        <f>SUM(G54:I54)</f>
        <v>0</v>
      </c>
      <c r="K54" s="104"/>
      <c r="L54" s="209"/>
      <c r="M54" s="209"/>
      <c r="N54" s="209">
        <f>J54</f>
        <v>0</v>
      </c>
      <c r="O54" s="209">
        <f>SUM(L54:N54)</f>
        <v>0</v>
      </c>
      <c r="P54" s="266">
        <f>'Rider Rates'!$D$137</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5">
      <c r="A55" s="241" t="s">
        <v>253</v>
      </c>
      <c r="B55" s="78"/>
      <c r="C55" s="78"/>
      <c r="D55" s="100"/>
      <c r="E55" s="101"/>
      <c r="F55" s="102"/>
      <c r="G55" s="265"/>
      <c r="H55" s="265"/>
      <c r="I55" s="265"/>
      <c r="J55" s="265"/>
      <c r="K55" s="104"/>
      <c r="L55" s="209"/>
      <c r="M55" s="209"/>
      <c r="N55" s="209"/>
      <c r="O55" s="209"/>
      <c r="P55" s="266"/>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ht="13" x14ac:dyDescent="0.3">
      <c r="A56" s="179" t="s">
        <v>70</v>
      </c>
      <c r="B56" s="148"/>
      <c r="C56" s="148"/>
      <c r="D56" s="180"/>
      <c r="E56" s="181"/>
      <c r="F56" s="182"/>
      <c r="G56" s="182"/>
      <c r="H56" s="182"/>
      <c r="I56" s="182"/>
      <c r="J56" s="182"/>
      <c r="K56" s="183"/>
      <c r="L56" s="169">
        <f>SUM(L27:L55)</f>
        <v>0</v>
      </c>
      <c r="M56" s="169">
        <f>SUM(M27:M55)</f>
        <v>0</v>
      </c>
      <c r="N56" s="169">
        <f>SUM(N27:N55)</f>
        <v>24.659999999999997</v>
      </c>
      <c r="O56" s="169">
        <f>SUM(O27:O55)</f>
        <v>24.659999999999997</v>
      </c>
      <c r="P56" s="18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5">
      <c r="A57" s="78"/>
      <c r="B57" s="78"/>
      <c r="C57" s="78"/>
      <c r="D57" s="100"/>
      <c r="E57" s="113"/>
      <c r="F57" s="106"/>
      <c r="G57" s="106"/>
      <c r="H57" s="106"/>
      <c r="I57" s="106"/>
      <c r="J57" s="107"/>
      <c r="K57" s="104"/>
      <c r="L57" s="106"/>
      <c r="M57" s="106"/>
      <c r="N57" s="106"/>
      <c r="O57" s="106"/>
      <c r="P57" s="164"/>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185" t="s">
        <v>93</v>
      </c>
      <c r="B58" s="170"/>
      <c r="C58" s="170"/>
      <c r="D58" s="170"/>
      <c r="E58" s="170"/>
      <c r="F58" s="170"/>
      <c r="G58" s="170"/>
      <c r="H58" s="170"/>
      <c r="I58" s="170"/>
      <c r="J58" s="170"/>
      <c r="K58" s="170"/>
      <c r="L58" s="186">
        <f>L23+L56</f>
        <v>0</v>
      </c>
      <c r="M58" s="186">
        <f>M23+M56</f>
        <v>0</v>
      </c>
      <c r="N58" s="186">
        <f>N23+N56</f>
        <v>34.059999999999995</v>
      </c>
      <c r="O58" s="187">
        <f>O23+O56</f>
        <v>34.059999999999995</v>
      </c>
      <c r="P58" s="187"/>
      <c r="Q58" s="106"/>
      <c r="R58" s="188"/>
      <c r="S58" s="108"/>
      <c r="T58" s="109"/>
      <c r="U58" s="78"/>
      <c r="V58" s="10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3" x14ac:dyDescent="0.3">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ht="13" x14ac:dyDescent="0.3">
      <c r="A60" s="78"/>
      <c r="B60" s="78"/>
      <c r="C60" s="78"/>
      <c r="D60" s="78"/>
      <c r="E60" s="78"/>
      <c r="F60" s="78"/>
      <c r="G60" s="78"/>
      <c r="H60" s="78"/>
      <c r="I60" s="78"/>
      <c r="J60" s="78"/>
      <c r="K60" s="78"/>
      <c r="L60" s="78"/>
      <c r="M60" s="78"/>
      <c r="N60" s="151"/>
      <c r="O60" s="151"/>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ht="13" x14ac:dyDescent="0.3">
      <c r="A61" s="166" t="s">
        <v>92</v>
      </c>
      <c r="B61" s="78"/>
      <c r="C61" s="78"/>
      <c r="D61" s="78"/>
      <c r="E61" s="78"/>
      <c r="F61" s="78"/>
      <c r="G61" s="78"/>
      <c r="H61" s="78"/>
      <c r="I61" s="78"/>
      <c r="J61" s="78"/>
      <c r="K61" s="78"/>
      <c r="L61" s="78"/>
      <c r="M61" s="78"/>
      <c r="N61" s="78"/>
      <c r="O61" s="109">
        <f>O21+O56</f>
        <v>34.059999999999995</v>
      </c>
      <c r="P61" s="151"/>
      <c r="Q61" s="166"/>
      <c r="R61" s="166"/>
      <c r="S61" s="166"/>
      <c r="T61" s="189"/>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ht="13" x14ac:dyDescent="0.3">
      <c r="A62" s="166" t="s">
        <v>15</v>
      </c>
      <c r="B62" s="166"/>
      <c r="C62" s="166"/>
      <c r="D62" s="166"/>
      <c r="E62" s="166"/>
      <c r="F62" s="166"/>
      <c r="G62" s="166"/>
      <c r="H62" s="166"/>
      <c r="I62" s="78"/>
      <c r="J62" s="78"/>
      <c r="K62" s="78"/>
      <c r="L62" s="78"/>
      <c r="M62" s="78"/>
      <c r="N62" s="151"/>
      <c r="O62" s="151"/>
      <c r="P62" s="151"/>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ht="13" x14ac:dyDescent="0.3">
      <c r="A63" s="148" t="s">
        <v>116</v>
      </c>
      <c r="B63" s="151"/>
      <c r="C63" s="151"/>
      <c r="D63" s="151"/>
      <c r="E63" s="151"/>
      <c r="F63" s="151"/>
      <c r="G63" s="151"/>
      <c r="H63" s="151"/>
      <c r="I63" s="151"/>
      <c r="J63" s="151"/>
      <c r="K63" s="151"/>
      <c r="L63" s="151"/>
      <c r="M63" s="151"/>
      <c r="N63" s="151"/>
      <c r="O63" s="190">
        <f>IF($D$17&lt;0,O58,IF(O58&gt;O61,O58,O61))</f>
        <v>34.059999999999995</v>
      </c>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36" ht="15" customHeight="1" x14ac:dyDescent="0.3">
      <c r="A64" s="148"/>
      <c r="B64" s="151"/>
      <c r="C64" s="151"/>
      <c r="D64" s="151"/>
      <c r="E64" s="151"/>
      <c r="F64" s="151"/>
      <c r="G64" s="151"/>
      <c r="H64" s="151"/>
      <c r="I64" s="151"/>
      <c r="J64" s="151"/>
      <c r="K64" s="151"/>
      <c r="L64" s="151"/>
      <c r="M64" s="151"/>
      <c r="N64" s="151"/>
      <c r="O64" s="190"/>
      <c r="P64" s="160"/>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row>
    <row r="65" spans="1:222" ht="13" x14ac:dyDescent="0.3">
      <c r="A65" s="148"/>
      <c r="B65" s="166"/>
      <c r="C65" s="166"/>
      <c r="D65" s="166"/>
      <c r="E65" s="166"/>
      <c r="F65" s="166"/>
      <c r="G65" s="166"/>
      <c r="H65" s="166"/>
      <c r="I65" s="166" t="s">
        <v>120</v>
      </c>
      <c r="J65" s="166"/>
      <c r="K65" s="166"/>
      <c r="L65" s="191"/>
      <c r="M65" s="191"/>
      <c r="N65" s="191"/>
      <c r="O65" s="191">
        <f>ROUND(IF($C$15&lt;1,0,O58/($C$15*100)*10000),2)</f>
        <v>0</v>
      </c>
      <c r="P65" s="37" t="s">
        <v>86</v>
      </c>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HE65" s="78"/>
      <c r="HF65" s="78"/>
      <c r="HG65" s="78"/>
      <c r="HH65" s="78"/>
      <c r="HI65" s="78"/>
      <c r="HJ65" s="78"/>
      <c r="HK65" s="78"/>
      <c r="HL65" s="78"/>
      <c r="HM65" s="78"/>
      <c r="HN65" s="78"/>
    </row>
    <row r="66" spans="1:222" ht="13" x14ac:dyDescent="0.3">
      <c r="B66" s="78"/>
      <c r="C66" s="78"/>
      <c r="D66" s="78"/>
      <c r="E66" s="78"/>
      <c r="F66" s="78"/>
      <c r="G66" s="78"/>
      <c r="H66" s="192"/>
      <c r="I66" s="242" t="s">
        <v>199</v>
      </c>
      <c r="J66" s="78"/>
      <c r="K66" s="78"/>
      <c r="L66" s="78"/>
      <c r="M66" s="78"/>
      <c r="N66" s="78"/>
      <c r="O66" s="243">
        <f>ROUND(IF($C$15&lt;1,0,(L58)/($C$15*100)*10000),2)</f>
        <v>0</v>
      </c>
      <c r="P66" s="25" t="s">
        <v>86</v>
      </c>
      <c r="Q66" s="78"/>
      <c r="R66" s="78"/>
      <c r="S66" s="78"/>
      <c r="T66" s="78"/>
      <c r="U66" s="78"/>
      <c r="V66" s="78"/>
      <c r="W66" s="78"/>
      <c r="X66" s="78"/>
      <c r="Y66" s="78"/>
      <c r="Z66" s="78"/>
      <c r="AA66" s="78"/>
      <c r="AB66" s="78"/>
      <c r="AC66" s="78"/>
      <c r="AD66" s="78"/>
      <c r="AE66" s="78"/>
      <c r="AF66" s="78"/>
      <c r="AG66" s="78"/>
      <c r="AH66" s="78"/>
      <c r="AI66" s="78"/>
      <c r="AJ66" s="78"/>
      <c r="AK66" s="78"/>
    </row>
  </sheetData>
  <sheetProtection algorithmName="SHA-512" hashValue="i9WuypYmza54siqj+pZJEa9vR4cAeykzrUghQSBwNxeY47hZp/xGrp+4GGTf+resZUO9CISYpCgm7v/uu6PcnQ==" saltValue="xJxm7qBUh9ECihSoCTZMjA=="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Button 1">
              <controlPr defaultSize="0" print="0" autoFill="0" autoPict="0" macro="[0]!Info">
                <anchor moveWithCells="1">
                  <from>
                    <xdr:col>0</xdr:col>
                    <xdr:colOff>38100</xdr:colOff>
                    <xdr:row>0</xdr:row>
                    <xdr:rowOff>31750</xdr:rowOff>
                  </from>
                  <to>
                    <xdr:col>0</xdr:col>
                    <xdr:colOff>381000</xdr:colOff>
                    <xdr:row>0</xdr:row>
                    <xdr:rowOff>165100</xdr:rowOff>
                  </to>
                </anchor>
              </controlPr>
            </control>
          </mc:Choice>
        </mc:AlternateContent>
        <mc:AlternateContent xmlns:mc="http://schemas.openxmlformats.org/markup-compatibility/2006">
          <mc:Choice Requires="x14">
            <control shapeId="168962" r:id="rId5" name="Button 2">
              <controlPr defaultSize="0" print="0" autoFill="0" autoPict="0" macro="[0]!Info">
                <anchor moveWithCells="1">
                  <from>
                    <xdr:col>15</xdr:col>
                    <xdr:colOff>190500</xdr:colOff>
                    <xdr:row>73</xdr:row>
                    <xdr:rowOff>50800</xdr:rowOff>
                  </from>
                  <to>
                    <xdr:col>15</xdr:col>
                    <xdr:colOff>546100</xdr:colOff>
                    <xdr:row>74</xdr:row>
                    <xdr:rowOff>107950</xdr:rowOff>
                  </to>
                </anchor>
              </controlPr>
            </control>
          </mc:Choice>
        </mc:AlternateContent>
        <mc:AlternateContent xmlns:mc="http://schemas.openxmlformats.org/markup-compatibility/2006">
          <mc:Choice Requires="x14">
            <control shapeId="168963" r:id="rId6" name="Button 3">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168964" r:id="rId7" name="Button 4">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168965" r:id="rId8" name="Button 5">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168966" r:id="rId9" name="Button 6">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88"/>
  <sheetViews>
    <sheetView showGridLines="0" topLeftCell="A7" zoomScale="80" zoomScaleNormal="80" workbookViewId="0">
      <selection activeCell="C9" sqref="C9"/>
    </sheetView>
  </sheetViews>
  <sheetFormatPr defaultRowHeight="12.5" x14ac:dyDescent="0.25"/>
  <cols>
    <col min="1" max="1" width="31" customWidth="1"/>
    <col min="2" max="2" width="2.1796875" customWidth="1"/>
    <col min="3" max="3" width="19.26953125" customWidth="1"/>
    <col min="4" max="4" width="15.26953125" customWidth="1"/>
    <col min="5" max="5" width="9.81640625" customWidth="1"/>
    <col min="6" max="6" width="3.7265625" customWidth="1"/>
    <col min="7" max="8" width="13.26953125" customWidth="1"/>
    <col min="9" max="9" width="14.54296875" customWidth="1"/>
    <col min="10" max="10" width="13.26953125" customWidth="1"/>
    <col min="11" max="11" width="7" customWidth="1"/>
    <col min="12" max="12" width="15.1796875" customWidth="1"/>
    <col min="13" max="14" width="14.453125" customWidth="1"/>
    <col min="15" max="15" width="16.26953125" bestFit="1" customWidth="1"/>
    <col min="16" max="16" width="13.81640625" bestFit="1" customWidth="1"/>
    <col min="18" max="26" width="9.1796875" hidden="1" customWidth="1"/>
    <col min="27" max="27" width="10.54296875" hidden="1" customWidth="1"/>
    <col min="28" max="29" width="9.1796875" hidden="1" customWidth="1"/>
    <col min="30" max="30" width="10" hidden="1" customWidth="1"/>
  </cols>
  <sheetData>
    <row r="1" spans="1:256" ht="20" x14ac:dyDescent="0.4">
      <c r="A1" s="451" t="s">
        <v>119</v>
      </c>
      <c r="B1" s="451"/>
      <c r="C1" s="451"/>
      <c r="D1" s="451"/>
      <c r="E1" s="451"/>
      <c r="F1" s="451"/>
      <c r="G1" s="451"/>
      <c r="H1" s="451"/>
      <c r="I1" s="451"/>
      <c r="J1" s="451"/>
      <c r="K1" s="451"/>
      <c r="L1" s="451"/>
      <c r="M1" s="451"/>
      <c r="N1" s="451"/>
      <c r="O1" s="451"/>
      <c r="P1" s="451"/>
    </row>
    <row r="2" spans="1:256" ht="20" x14ac:dyDescent="0.4">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436"/>
      <c r="HZ2" s="436"/>
      <c r="IA2" s="436"/>
      <c r="IB2" s="436"/>
      <c r="IC2" s="436"/>
      <c r="ID2" s="436"/>
      <c r="IE2" s="436"/>
      <c r="IF2" s="436"/>
      <c r="IG2" s="436"/>
      <c r="IH2" s="436"/>
      <c r="II2" s="436"/>
      <c r="IJ2" s="436"/>
      <c r="IK2" s="436"/>
      <c r="IL2" s="436"/>
      <c r="IM2" s="436"/>
      <c r="IN2" s="436"/>
      <c r="IO2" s="436"/>
      <c r="IP2" s="436"/>
      <c r="IQ2" s="436"/>
      <c r="IR2" s="436"/>
      <c r="IS2" s="436"/>
      <c r="IT2" s="436"/>
      <c r="IU2" s="436"/>
      <c r="IV2" s="436"/>
    </row>
    <row r="3" spans="1:256" ht="18" x14ac:dyDescent="0.4">
      <c r="A3" s="452" t="s">
        <v>289</v>
      </c>
      <c r="B3" s="452"/>
      <c r="C3" s="452"/>
      <c r="D3" s="452"/>
      <c r="E3" s="452"/>
      <c r="F3" s="452"/>
      <c r="G3" s="452"/>
      <c r="H3" s="452"/>
      <c r="I3" s="452"/>
      <c r="J3" s="452"/>
      <c r="K3" s="452"/>
      <c r="L3" s="452"/>
      <c r="M3" s="452"/>
      <c r="N3" s="452"/>
      <c r="O3" s="452"/>
      <c r="P3" s="452"/>
    </row>
    <row r="4" spans="1:256"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256" ht="15.5" x14ac:dyDescent="0.35">
      <c r="A5" s="75"/>
      <c r="B5" s="75"/>
      <c r="C5" s="75"/>
      <c r="D5" s="75"/>
      <c r="E5" s="75"/>
      <c r="F5" s="75"/>
      <c r="G5" s="75"/>
      <c r="H5" s="75"/>
      <c r="I5" s="75"/>
      <c r="J5" s="75"/>
      <c r="K5" s="75"/>
    </row>
    <row r="6" spans="1:256" x14ac:dyDescent="0.25">
      <c r="A6" s="269">
        <f ca="1">TODAY()</f>
        <v>45378</v>
      </c>
      <c r="B6" s="210" t="s">
        <v>288</v>
      </c>
      <c r="C6" s="269"/>
      <c r="D6" s="269"/>
      <c r="E6" s="269"/>
      <c r="F6" s="269"/>
      <c r="G6" s="269"/>
      <c r="H6" s="269"/>
      <c r="I6" s="269"/>
    </row>
    <row r="7" spans="1:256" ht="25" x14ac:dyDescent="0.5">
      <c r="A7" s="453"/>
      <c r="B7" s="453"/>
      <c r="C7" s="453"/>
      <c r="D7" s="453"/>
      <c r="E7" s="453"/>
      <c r="F7" s="453"/>
      <c r="G7" s="453"/>
      <c r="H7" s="453"/>
      <c r="I7" s="453"/>
      <c r="J7" s="453"/>
      <c r="K7" s="453"/>
      <c r="L7" s="453"/>
      <c r="M7" s="453"/>
      <c r="N7" s="453"/>
      <c r="O7" s="453"/>
      <c r="P7" s="453"/>
    </row>
    <row r="8" spans="1:256" ht="15.5" x14ac:dyDescent="0.35">
      <c r="A8" s="23" t="s">
        <v>2</v>
      </c>
      <c r="B8" s="24"/>
      <c r="C8" s="25">
        <f>'Customer Info'!B7</f>
        <v>0</v>
      </c>
      <c r="I8" s="26"/>
    </row>
    <row r="9" spans="1:256" ht="15.5" x14ac:dyDescent="0.35">
      <c r="A9" s="27" t="s">
        <v>26</v>
      </c>
      <c r="B9" s="24"/>
      <c r="C9" s="25">
        <f>'Customer Info'!B8</f>
        <v>0</v>
      </c>
    </row>
    <row r="10" spans="1:256" ht="13" x14ac:dyDescent="0.3">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3">
      <c r="A11" s="446"/>
      <c r="B11" s="446"/>
      <c r="C11" s="446"/>
      <c r="D11" s="446"/>
      <c r="E11" s="446"/>
      <c r="F11" s="446"/>
      <c r="G11" s="446"/>
      <c r="H11" s="446"/>
      <c r="I11" s="446"/>
      <c r="R11" t="s">
        <v>114</v>
      </c>
      <c r="S11" s="145" t="s">
        <v>101</v>
      </c>
      <c r="T11" s="145" t="s">
        <v>102</v>
      </c>
      <c r="U11" s="145" t="s">
        <v>103</v>
      </c>
      <c r="V11" s="145" t="s">
        <v>104</v>
      </c>
      <c r="W11" s="145" t="s">
        <v>105</v>
      </c>
      <c r="X11" s="145" t="s">
        <v>106</v>
      </c>
      <c r="Y11" s="145" t="s">
        <v>107</v>
      </c>
      <c r="Z11" s="145" t="s">
        <v>108</v>
      </c>
      <c r="AA11" s="145" t="s">
        <v>109</v>
      </c>
      <c r="AB11" s="145" t="s">
        <v>111</v>
      </c>
      <c r="AC11" s="145" t="s">
        <v>110</v>
      </c>
      <c r="AD11" s="145" t="s">
        <v>112</v>
      </c>
    </row>
    <row r="12" spans="1:256" ht="13" x14ac:dyDescent="0.3">
      <c r="A12" s="28" t="s">
        <v>27</v>
      </c>
      <c r="B12" s="22"/>
      <c r="C12" s="22"/>
      <c r="D12" s="22"/>
      <c r="E12" s="22"/>
      <c r="F12" s="22"/>
      <c r="G12" s="22"/>
      <c r="H12" s="22"/>
      <c r="I12" s="22"/>
      <c r="J12" s="22"/>
      <c r="K12" s="22"/>
      <c r="L12" s="22"/>
      <c r="M12" s="22"/>
      <c r="N12" s="22"/>
      <c r="O12" s="22"/>
      <c r="P12" s="22"/>
      <c r="R12" s="3" t="s">
        <v>196</v>
      </c>
      <c r="S12" s="207">
        <f>'Rider Rates'!$C$23</f>
        <v>0.10589</v>
      </c>
      <c r="T12" s="207">
        <f>'Rider Rates'!$C$23</f>
        <v>0.10589</v>
      </c>
      <c r="U12" s="207">
        <f>'Rider Rates'!$C$23</f>
        <v>0.10589</v>
      </c>
      <c r="V12" s="207">
        <f>'Rider Rates'!$C$23</f>
        <v>0.10589</v>
      </c>
      <c r="W12" s="207">
        <f>'Rider Rates'!$C$23</f>
        <v>0.10589</v>
      </c>
      <c r="X12" s="207">
        <f>'Rider Rates'!$B$23</f>
        <v>0.10589</v>
      </c>
      <c r="Y12" s="207">
        <f>'Rider Rates'!$B$23</f>
        <v>0.10589</v>
      </c>
      <c r="Z12" s="207">
        <f>'Rider Rates'!$B$23</f>
        <v>0.10589</v>
      </c>
      <c r="AA12" s="207">
        <f>'Rider Rates'!$B$23</f>
        <v>0.10589</v>
      </c>
      <c r="AB12" s="207">
        <f>'Rider Rates'!$C$23</f>
        <v>0.10589</v>
      </c>
      <c r="AC12" s="207">
        <f>'Rider Rates'!$C$23</f>
        <v>0.10589</v>
      </c>
      <c r="AD12" s="207">
        <f>'Rider Rates'!$C$23</f>
        <v>0.10589</v>
      </c>
    </row>
    <row r="13" spans="1:256" x14ac:dyDescent="0.25">
      <c r="A13" s="18"/>
      <c r="B13" s="18"/>
      <c r="C13" s="59" t="s">
        <v>54</v>
      </c>
      <c r="D13" s="59" t="s">
        <v>55</v>
      </c>
      <c r="E13" s="18"/>
      <c r="F13" s="18"/>
      <c r="G13" s="18"/>
      <c r="H13" s="18"/>
      <c r="I13" s="18"/>
      <c r="J13" s="18"/>
      <c r="K13" s="18"/>
      <c r="L13" s="18"/>
      <c r="M13" s="18"/>
      <c r="N13" s="18"/>
      <c r="O13" s="18"/>
    </row>
    <row r="14" spans="1:256" x14ac:dyDescent="0.25">
      <c r="A14" s="29" t="s">
        <v>28</v>
      </c>
      <c r="B14" s="29"/>
      <c r="C14" s="44">
        <f>'Customer Info'!B18</f>
        <v>0</v>
      </c>
      <c r="D14" s="44">
        <f>ROUND(C14*C17,1)</f>
        <v>0</v>
      </c>
      <c r="E14" s="29" t="s">
        <v>45</v>
      </c>
      <c r="F14" s="30"/>
      <c r="G14" s="29" t="s">
        <v>15</v>
      </c>
      <c r="I14" s="53" t="s">
        <v>15</v>
      </c>
      <c r="J14" s="29"/>
      <c r="K14" s="29"/>
      <c r="L14" s="29"/>
      <c r="M14" s="29"/>
      <c r="N14" s="29"/>
    </row>
    <row r="15" spans="1:256" x14ac:dyDescent="0.25">
      <c r="A15" s="31" t="s">
        <v>29</v>
      </c>
      <c r="B15" s="31"/>
      <c r="C15" s="44">
        <f>'Customer Info'!B19</f>
        <v>0</v>
      </c>
      <c r="D15" s="44">
        <f>C15*C17</f>
        <v>0</v>
      </c>
      <c r="E15" s="29" t="s">
        <v>45</v>
      </c>
      <c r="F15" s="33"/>
      <c r="G15" s="31" t="s">
        <v>30</v>
      </c>
      <c r="I15" s="51" t="str">
        <f>IF(MAX(C14,C15)&gt;0,C16/(MAX(C14,C15)*730), " ")</f>
        <v xml:space="preserve"> </v>
      </c>
      <c r="J15" s="31"/>
      <c r="K15" s="31"/>
      <c r="L15" s="31"/>
      <c r="M15" s="31"/>
      <c r="N15" s="31"/>
      <c r="X15" s="207"/>
      <c r="Y15" s="207"/>
      <c r="Z15" s="207"/>
      <c r="AA15" s="207"/>
    </row>
    <row r="16" spans="1:256" x14ac:dyDescent="0.25">
      <c r="A16" s="31" t="s">
        <v>43</v>
      </c>
      <c r="B16" s="31"/>
      <c r="C16" s="32">
        <f>IF('Customer Info'!B21+'Customer Info'!B22-'Customer Info'!B23&lt;0,0,'Customer Info'!B21+'Customer Info'!B22-'Customer Info'!B23)</f>
        <v>0</v>
      </c>
      <c r="D16" s="32">
        <f>C16*C17</f>
        <v>0</v>
      </c>
      <c r="E16" s="31" t="s">
        <v>41</v>
      </c>
      <c r="F16" s="33"/>
      <c r="G16" s="31"/>
      <c r="H16" s="31"/>
      <c r="I16" s="31"/>
      <c r="J16" s="31"/>
      <c r="K16" s="31"/>
      <c r="L16" s="31"/>
      <c r="M16" s="31"/>
      <c r="N16" s="31"/>
      <c r="O16" s="31"/>
    </row>
    <row r="17" spans="1:30" ht="13" x14ac:dyDescent="0.3">
      <c r="A17" s="31" t="s">
        <v>53</v>
      </c>
      <c r="B17" s="31"/>
      <c r="C17" s="58">
        <f>+'Customer Info'!E18</f>
        <v>1</v>
      </c>
      <c r="D17" s="31"/>
      <c r="E17" s="31"/>
      <c r="F17" s="33"/>
      <c r="G17" s="23"/>
      <c r="H17" s="23"/>
      <c r="I17" s="23"/>
      <c r="J17" s="23"/>
      <c r="K17" s="31"/>
      <c r="L17" s="31"/>
      <c r="M17" s="31"/>
      <c r="N17" s="31"/>
      <c r="S17" s="207"/>
      <c r="T17" s="207"/>
      <c r="U17" s="207"/>
      <c r="V17" s="207"/>
      <c r="W17" s="207"/>
      <c r="X17" s="207"/>
      <c r="Y17" s="207"/>
      <c r="Z17" s="207"/>
      <c r="AA17" s="207"/>
      <c r="AB17" s="207"/>
      <c r="AC17" s="207"/>
      <c r="AD17" s="207"/>
    </row>
    <row r="18" spans="1:30" x14ac:dyDescent="0.25">
      <c r="A18" s="31" t="s">
        <v>15</v>
      </c>
      <c r="B18" s="31"/>
      <c r="C18" s="82" t="s">
        <v>15</v>
      </c>
      <c r="D18" s="455" t="s">
        <v>15</v>
      </c>
      <c r="E18" s="455"/>
      <c r="F18" s="455"/>
      <c r="G18" s="455"/>
      <c r="H18" s="455"/>
      <c r="K18" s="31"/>
      <c r="L18" s="31"/>
      <c r="M18" s="31"/>
      <c r="N18" s="31"/>
      <c r="O18" s="50"/>
    </row>
    <row r="19" spans="1:30" ht="13" x14ac:dyDescent="0.3">
      <c r="A19" s="31" t="s">
        <v>15</v>
      </c>
      <c r="B19" s="31"/>
      <c r="C19" s="82" t="s">
        <v>15</v>
      </c>
      <c r="D19" s="455" t="s">
        <v>15</v>
      </c>
      <c r="E19" s="455"/>
      <c r="F19" s="455"/>
      <c r="G19" s="455"/>
      <c r="H19" s="455"/>
      <c r="I19" s="23"/>
      <c r="J19" s="23"/>
      <c r="K19" s="31"/>
      <c r="L19" s="31"/>
      <c r="M19" s="31"/>
      <c r="N19" s="31"/>
      <c r="O19" s="50"/>
    </row>
    <row r="20" spans="1:30" ht="13" x14ac:dyDescent="0.3">
      <c r="A20" s="31"/>
      <c r="B20" s="31"/>
      <c r="C20" s="33"/>
      <c r="D20" s="33"/>
      <c r="E20" s="33"/>
      <c r="F20" s="33"/>
      <c r="G20" s="23"/>
      <c r="H20" s="23"/>
      <c r="I20" s="23"/>
      <c r="J20" s="23"/>
      <c r="K20" s="31"/>
      <c r="L20" s="31"/>
      <c r="M20" s="31"/>
      <c r="N20" s="31"/>
      <c r="O20" s="31"/>
    </row>
    <row r="21" spans="1:30" ht="13" x14ac:dyDescent="0.3">
      <c r="A21" s="28" t="s">
        <v>31</v>
      </c>
      <c r="B21" s="22"/>
      <c r="C21" s="22"/>
      <c r="D21" s="22"/>
      <c r="E21" s="22"/>
      <c r="F21" s="22"/>
      <c r="G21" s="447" t="s">
        <v>67</v>
      </c>
      <c r="H21" s="448"/>
      <c r="I21" s="448"/>
      <c r="J21" s="449"/>
      <c r="K21" s="22"/>
      <c r="L21" s="450" t="s">
        <v>68</v>
      </c>
      <c r="M21" s="450"/>
      <c r="N21" s="450"/>
      <c r="O21" s="450"/>
    </row>
    <row r="22" spans="1:30" ht="13" x14ac:dyDescent="0.3">
      <c r="A22" s="18"/>
      <c r="B22" s="18"/>
      <c r="C22" s="18"/>
      <c r="D22" s="18"/>
      <c r="E22" s="18"/>
      <c r="F22" s="18"/>
      <c r="G22" s="8" t="s">
        <v>64</v>
      </c>
      <c r="H22" s="8" t="s">
        <v>65</v>
      </c>
      <c r="I22" s="8" t="s">
        <v>66</v>
      </c>
      <c r="J22" s="112" t="s">
        <v>34</v>
      </c>
      <c r="K22" s="18"/>
      <c r="L22" s="270" t="s">
        <v>64</v>
      </c>
      <c r="M22" s="270" t="s">
        <v>65</v>
      </c>
      <c r="N22" s="270" t="s">
        <v>66</v>
      </c>
      <c r="O22" s="132" t="s">
        <v>34</v>
      </c>
      <c r="P22" s="43" t="s">
        <v>56</v>
      </c>
    </row>
    <row r="23" spans="1:30" x14ac:dyDescent="0.25">
      <c r="A23" t="s">
        <v>32</v>
      </c>
      <c r="G23" s="86"/>
      <c r="H23" s="86"/>
      <c r="I23" s="86">
        <v>9.4</v>
      </c>
      <c r="J23" s="86">
        <f>SUM(G23:I23)</f>
        <v>9.4</v>
      </c>
      <c r="L23" s="88"/>
      <c r="M23" s="88"/>
      <c r="N23" s="88">
        <f>I23</f>
        <v>9.4</v>
      </c>
      <c r="O23" s="209">
        <f>SUM(L23:N23)</f>
        <v>9.4</v>
      </c>
      <c r="P23" s="245">
        <v>44531</v>
      </c>
    </row>
    <row r="24" spans="1:30" x14ac:dyDescent="0.25">
      <c r="A24" t="s">
        <v>132</v>
      </c>
      <c r="D24" s="1">
        <f>D16</f>
        <v>0</v>
      </c>
      <c r="E24" s="101" t="s">
        <v>41</v>
      </c>
      <c r="F24" s="102" t="s">
        <v>8</v>
      </c>
      <c r="G24" s="84"/>
      <c r="H24" s="86"/>
      <c r="I24" s="279">
        <v>2.05802E-2</v>
      </c>
      <c r="J24" s="279">
        <f>SUM(G24:I24)</f>
        <v>2.05802E-2</v>
      </c>
      <c r="K24" s="104" t="s">
        <v>42</v>
      </c>
      <c r="L24" s="87"/>
      <c r="M24" s="88"/>
      <c r="N24" s="280">
        <f>D24*J24</f>
        <v>0</v>
      </c>
      <c r="O24" s="209">
        <f>N24</f>
        <v>0</v>
      </c>
      <c r="P24" s="245"/>
    </row>
    <row r="25" spans="1:30" ht="13" x14ac:dyDescent="0.3">
      <c r="A25" s="37" t="s">
        <v>50</v>
      </c>
      <c r="B25" s="37"/>
      <c r="C25" s="37"/>
      <c r="D25" s="38"/>
      <c r="E25" s="38"/>
      <c r="F25" s="37"/>
      <c r="G25" s="37"/>
      <c r="H25" s="37"/>
      <c r="I25" s="37"/>
      <c r="J25" s="37"/>
      <c r="K25" s="39"/>
      <c r="L25" s="40"/>
      <c r="M25" s="40"/>
      <c r="N25" s="40">
        <f>SUM(N23:N24)</f>
        <v>9.4</v>
      </c>
      <c r="O25" s="40">
        <f>SUM(O23:O24)</f>
        <v>9.4</v>
      </c>
    </row>
    <row r="26" spans="1:30" ht="13" x14ac:dyDescent="0.3">
      <c r="A26" s="89"/>
      <c r="B26" s="89"/>
      <c r="C26" s="90"/>
      <c r="D26" s="90"/>
      <c r="E26" s="90"/>
      <c r="F26" s="90"/>
      <c r="G26" s="91"/>
      <c r="H26" s="91"/>
      <c r="I26" s="91"/>
      <c r="J26" s="91"/>
      <c r="K26" s="89"/>
      <c r="L26" s="89"/>
      <c r="M26" s="89"/>
      <c r="N26" s="89"/>
      <c r="O26" s="89"/>
      <c r="P26" s="89"/>
    </row>
    <row r="27" spans="1:30" ht="13" x14ac:dyDescent="0.3">
      <c r="A27" s="41" t="s">
        <v>69</v>
      </c>
      <c r="D27" s="1"/>
      <c r="E27" s="1"/>
      <c r="K27" s="36"/>
      <c r="L27" s="36"/>
      <c r="M27" s="36"/>
      <c r="N27" s="36"/>
      <c r="O27" s="34"/>
      <c r="P27" s="34"/>
    </row>
    <row r="28" spans="1:30" ht="13" x14ac:dyDescent="0.3">
      <c r="A28" s="37"/>
      <c r="D28" s="1"/>
      <c r="E28" s="1"/>
      <c r="K28" s="36"/>
      <c r="L28" s="36"/>
      <c r="M28" s="36"/>
      <c r="N28" s="36"/>
      <c r="O28" s="34"/>
    </row>
    <row r="29" spans="1:30" x14ac:dyDescent="0.25">
      <c r="A29" s="78" t="s">
        <v>78</v>
      </c>
      <c r="D29" s="1">
        <f>IF($C$16&lt;0,0,IF($C$16&gt;833000,833000,$C$16))</f>
        <v>0</v>
      </c>
      <c r="E29" s="35" t="s">
        <v>41</v>
      </c>
      <c r="F29" s="4" t="s">
        <v>8</v>
      </c>
      <c r="G29" s="83"/>
      <c r="H29" s="84"/>
      <c r="I29" s="103">
        <f>'Rider Rates'!$B$4</f>
        <v>5.9216E-3</v>
      </c>
      <c r="J29" s="6">
        <f>SUM(G29:I29)</f>
        <v>5.9216E-3</v>
      </c>
      <c r="K29" s="36" t="s">
        <v>42</v>
      </c>
      <c r="L29" s="87"/>
      <c r="M29" s="87"/>
      <c r="N29" s="87">
        <f>ROUND($D29*I29,2)</f>
        <v>0</v>
      </c>
      <c r="O29" s="87">
        <f>SUM(L29:N29)</f>
        <v>0</v>
      </c>
      <c r="P29" s="245">
        <f>'Rider Rates'!$D$4</f>
        <v>45293</v>
      </c>
    </row>
    <row r="30" spans="1:30" x14ac:dyDescent="0.25">
      <c r="A30" s="78" t="s">
        <v>79</v>
      </c>
      <c r="D30" s="1">
        <f>IF($C$16-833000&gt;0,$C$16-D29,0)</f>
        <v>0</v>
      </c>
      <c r="E30" s="35" t="s">
        <v>41</v>
      </c>
      <c r="F30" s="4" t="s">
        <v>8</v>
      </c>
      <c r="G30" s="83"/>
      <c r="H30" s="84"/>
      <c r="I30" s="103">
        <f>'Rider Rates'!$B$5</f>
        <v>1.7560000000000001E-4</v>
      </c>
      <c r="J30" s="118">
        <f>SUM(G30:I30)</f>
        <v>1.7560000000000001E-4</v>
      </c>
      <c r="K30" s="36" t="s">
        <v>42</v>
      </c>
      <c r="L30" s="87"/>
      <c r="M30" s="87"/>
      <c r="N30" s="87">
        <f>ROUND($D30*I30,2)</f>
        <v>0</v>
      </c>
      <c r="O30" s="87">
        <f>SUM(L30:N30)</f>
        <v>0</v>
      </c>
      <c r="P30" s="245">
        <f>'Rider Rates'!$D$4</f>
        <v>45293</v>
      </c>
    </row>
    <row r="31" spans="1:30" x14ac:dyDescent="0.25">
      <c r="A31" s="78" t="s">
        <v>47</v>
      </c>
      <c r="B31" t="s">
        <v>15</v>
      </c>
      <c r="D31" s="1">
        <f>IF('Customer Info'!$C$32=TRUE,0,IF(C16&lt;0,0,IF(C16&gt;2000,2000,C16)))</f>
        <v>0</v>
      </c>
      <c r="E31" s="35" t="s">
        <v>41</v>
      </c>
      <c r="F31" s="4" t="s">
        <v>8</v>
      </c>
      <c r="G31" s="83"/>
      <c r="H31" s="84"/>
      <c r="I31" s="177">
        <f>'Rider Rates'!$B$8</f>
        <v>4.6499999999999996E-3</v>
      </c>
      <c r="J31" s="117">
        <f>SUM(G31:I31)</f>
        <v>4.6499999999999996E-3</v>
      </c>
      <c r="K31" s="36" t="s">
        <v>42</v>
      </c>
      <c r="L31" s="87"/>
      <c r="M31" s="87"/>
      <c r="N31" s="87">
        <f>ROUND($D31*I31,2)</f>
        <v>0</v>
      </c>
      <c r="O31" s="87">
        <f>SUM(L31:N31)</f>
        <v>0</v>
      </c>
      <c r="P31" s="245">
        <f>'Rider Rates'!$D$7</f>
        <v>44531</v>
      </c>
    </row>
    <row r="32" spans="1:30" x14ac:dyDescent="0.25">
      <c r="A32" s="78" t="s">
        <v>48</v>
      </c>
      <c r="B32" t="s">
        <v>15</v>
      </c>
      <c r="D32" s="1">
        <f>IF('Customer Info'!$C$32=TRUE,0,IF(C16&gt;15000,13000,IF(C16&gt;2000,C16-2000,0)))</f>
        <v>0</v>
      </c>
      <c r="E32" s="35" t="s">
        <v>41</v>
      </c>
      <c r="F32" s="4" t="s">
        <v>8</v>
      </c>
      <c r="G32" s="83"/>
      <c r="H32" s="84"/>
      <c r="I32" s="177">
        <f>'Rider Rates'!$B$9</f>
        <v>4.1900000000000001E-3</v>
      </c>
      <c r="J32" s="117">
        <f>SUM(G32:I32)</f>
        <v>4.1900000000000001E-3</v>
      </c>
      <c r="K32" s="36" t="s">
        <v>42</v>
      </c>
      <c r="L32" s="87"/>
      <c r="M32" s="87"/>
      <c r="N32" s="87">
        <f>ROUND($D32*I32,2)</f>
        <v>0</v>
      </c>
      <c r="O32" s="87">
        <f>SUM(L32:N32)</f>
        <v>0</v>
      </c>
      <c r="P32" s="245">
        <f>'Rider Rates'!$D$7</f>
        <v>44531</v>
      </c>
    </row>
    <row r="33" spans="1:221" x14ac:dyDescent="0.25">
      <c r="A33" s="78" t="s">
        <v>49</v>
      </c>
      <c r="B33" t="s">
        <v>15</v>
      </c>
      <c r="D33" s="1">
        <f>IF('Customer Info'!$C$32=TRUE,0,IF(C16-D31-D32&gt;0,C16-D31-D32,0))</f>
        <v>0</v>
      </c>
      <c r="E33" s="35" t="s">
        <v>41</v>
      </c>
      <c r="F33" s="4" t="s">
        <v>8</v>
      </c>
      <c r="G33" s="83"/>
      <c r="H33" s="84"/>
      <c r="I33" s="177">
        <f>'Rider Rates'!$B$10</f>
        <v>3.63E-3</v>
      </c>
      <c r="J33" s="117">
        <f>SUM(G33:I33)</f>
        <v>3.63E-3</v>
      </c>
      <c r="K33" s="36" t="s">
        <v>42</v>
      </c>
      <c r="L33" s="87"/>
      <c r="M33" s="87"/>
      <c r="N33" s="87">
        <f>ROUND($D33*I33,2)</f>
        <v>0</v>
      </c>
      <c r="O33" s="87">
        <f>SUM(L33:N33)</f>
        <v>0</v>
      </c>
      <c r="P33" s="245">
        <f>'Rider Rates'!$D$7</f>
        <v>44531</v>
      </c>
    </row>
    <row r="34" spans="1:221" ht="13" x14ac:dyDescent="0.3">
      <c r="A34" s="241" t="s">
        <v>247</v>
      </c>
      <c r="B34" s="78"/>
      <c r="C34" s="78"/>
      <c r="D34" s="208">
        <f>$N$25</f>
        <v>9.4</v>
      </c>
      <c r="E34" s="101" t="s">
        <v>121</v>
      </c>
      <c r="F34" s="102" t="s">
        <v>8</v>
      </c>
      <c r="G34" s="103"/>
      <c r="H34" s="103"/>
      <c r="I34" s="178">
        <f>'Rider Rates'!$B$18+'Rider Rates'!$E$18</f>
        <v>0</v>
      </c>
      <c r="J34" s="120">
        <f>SUM(H34:I34)</f>
        <v>0</v>
      </c>
      <c r="K34" s="104"/>
      <c r="L34" s="105"/>
      <c r="M34" s="105"/>
      <c r="N34" s="105">
        <f>ROUND($D$34*'Rider Rates'!$B$18,2)+ROUND($D$34*'Rider Rates'!$E$18,2)</f>
        <v>0</v>
      </c>
      <c r="O34" s="105">
        <f t="shared" ref="O34:O46" si="0">SUM(L34:N34)</f>
        <v>0</v>
      </c>
      <c r="P34" s="245">
        <f>MAX('Rider Rates'!$D$18,'Rider Rates'!$F$18)</f>
        <v>44531</v>
      </c>
    </row>
    <row r="35" spans="1:221" x14ac:dyDescent="0.25">
      <c r="A35" s="210" t="s">
        <v>195</v>
      </c>
      <c r="B35" s="78"/>
      <c r="C35" s="78"/>
      <c r="D35" s="100">
        <f>'Customer Info'!$B$21+'Customer Info'!$B$22-'Customer Info'!$B$23</f>
        <v>0</v>
      </c>
      <c r="E35" s="101" t="s">
        <v>41</v>
      </c>
      <c r="F35" s="102" t="s">
        <v>8</v>
      </c>
      <c r="G35" s="103">
        <f>'Rider Rates'!B23</f>
        <v>0.10589</v>
      </c>
      <c r="H35" s="103"/>
      <c r="I35" s="103"/>
      <c r="J35" s="237">
        <f>SUM(G35:H35)</f>
        <v>0.10589</v>
      </c>
      <c r="K35" s="104" t="s">
        <v>42</v>
      </c>
      <c r="L35" s="105">
        <f>ROUND(D35*G35,2)</f>
        <v>0</v>
      </c>
      <c r="M35" s="105"/>
      <c r="N35" s="105"/>
      <c r="O35" s="105">
        <f t="shared" si="0"/>
        <v>0</v>
      </c>
      <c r="P35" s="245">
        <f>'Rider Rates'!$D$23</f>
        <v>45078</v>
      </c>
    </row>
    <row r="36" spans="1:221" x14ac:dyDescent="0.25">
      <c r="A36" s="241" t="s">
        <v>162</v>
      </c>
      <c r="B36" s="78"/>
      <c r="C36" s="78"/>
      <c r="D36" s="100">
        <f>'Customer Info'!$B$21+'Customer Info'!$B$22-'Customer Info'!$B$23</f>
        <v>0</v>
      </c>
      <c r="E36" s="101" t="s">
        <v>41</v>
      </c>
      <c r="F36" s="102" t="s">
        <v>8</v>
      </c>
      <c r="G36" s="103">
        <f>'Rider Rates'!B37</f>
        <v>3.0899999999999999E-3</v>
      </c>
      <c r="H36" s="103"/>
      <c r="I36" s="103"/>
      <c r="J36" s="237">
        <f>SUM(G36:H36)</f>
        <v>3.0899999999999999E-3</v>
      </c>
      <c r="K36" s="104" t="s">
        <v>42</v>
      </c>
      <c r="L36" s="105">
        <f>ROUND(D36*G36,2)</f>
        <v>0</v>
      </c>
      <c r="M36" s="105"/>
      <c r="N36" s="105"/>
      <c r="O36" s="105">
        <f t="shared" si="0"/>
        <v>0</v>
      </c>
      <c r="P36" s="245">
        <f>'Rider Rates'!$D$37</f>
        <v>45078</v>
      </c>
    </row>
    <row r="37" spans="1:221" x14ac:dyDescent="0.25">
      <c r="A37" s="210" t="s">
        <v>202</v>
      </c>
      <c r="B37" s="78"/>
      <c r="C37" s="78"/>
      <c r="D37" s="100">
        <f>'Customer Info'!$B$21+'Customer Info'!$B$22-'Customer Info'!$B$23</f>
        <v>0</v>
      </c>
      <c r="E37" s="101" t="s">
        <v>41</v>
      </c>
      <c r="F37" s="102" t="s">
        <v>8</v>
      </c>
      <c r="G37" s="103">
        <f>'Rider Rates'!$B$46</f>
        <v>-4.8640000000000001E-4</v>
      </c>
      <c r="H37" s="103"/>
      <c r="I37" s="103"/>
      <c r="J37" s="237">
        <f>SUM(G37:H37)</f>
        <v>-4.8640000000000001E-4</v>
      </c>
      <c r="K37" s="104" t="s">
        <v>42</v>
      </c>
      <c r="L37" s="105">
        <f>ROUND(D37*G37,2)</f>
        <v>0</v>
      </c>
      <c r="M37" s="105"/>
      <c r="N37" s="105"/>
      <c r="O37" s="105">
        <f t="shared" si="0"/>
        <v>0</v>
      </c>
      <c r="P37" s="245">
        <f>'Rider Rates'!$D$46</f>
        <v>45383</v>
      </c>
    </row>
    <row r="38" spans="1:221" x14ac:dyDescent="0.25">
      <c r="A38" s="241" t="s">
        <v>220</v>
      </c>
      <c r="B38" s="78"/>
      <c r="C38" s="78"/>
      <c r="D38" s="1">
        <f>IF($C$16&lt;0,0,IF($C$16&gt;833000,833000,$C$16))</f>
        <v>0</v>
      </c>
      <c r="E38" s="101" t="s">
        <v>41</v>
      </c>
      <c r="F38" s="102" t="s">
        <v>8</v>
      </c>
      <c r="G38" s="103"/>
      <c r="H38" s="103"/>
      <c r="I38" s="103">
        <f>'Rider Rates'!D50</f>
        <v>1.7826999999999999E-3</v>
      </c>
      <c r="J38" s="103">
        <f>SUM(G38:I38)</f>
        <v>1.7826999999999999E-3</v>
      </c>
      <c r="K38" s="104" t="s">
        <v>42</v>
      </c>
      <c r="L38" s="105"/>
      <c r="M38" s="105"/>
      <c r="N38" s="87">
        <f>D38*J38</f>
        <v>0</v>
      </c>
      <c r="O38" s="105">
        <f t="shared" si="0"/>
        <v>0</v>
      </c>
      <c r="P38" s="245">
        <f>'Rider Rates'!E50</f>
        <v>45292</v>
      </c>
    </row>
    <row r="39" spans="1:221" x14ac:dyDescent="0.25">
      <c r="A39" s="210" t="s">
        <v>198</v>
      </c>
      <c r="B39" s="78"/>
      <c r="C39" s="78"/>
      <c r="D39" s="1">
        <f>IF($C$16&lt;0,0,$C$16)</f>
        <v>0</v>
      </c>
      <c r="E39" s="113" t="s">
        <v>41</v>
      </c>
      <c r="F39" s="102" t="s">
        <v>8</v>
      </c>
      <c r="G39" s="103"/>
      <c r="H39" s="103">
        <f>'Rider Rates'!G56</f>
        <v>2.3467399999999999E-2</v>
      </c>
      <c r="I39" s="103"/>
      <c r="J39" s="103">
        <f>SUM(G39:I39)</f>
        <v>2.3467399999999999E-2</v>
      </c>
      <c r="K39" s="104" t="s">
        <v>42</v>
      </c>
      <c r="L39" s="105"/>
      <c r="M39" s="105">
        <f>ROUND(D39*H39,2)</f>
        <v>0</v>
      </c>
      <c r="N39" s="205"/>
      <c r="O39" s="105">
        <f t="shared" si="0"/>
        <v>0</v>
      </c>
      <c r="P39" s="245">
        <f>'Rider Rates'!H56</f>
        <v>45383</v>
      </c>
    </row>
    <row r="40" spans="1:221" x14ac:dyDescent="0.25">
      <c r="A40" s="99" t="s">
        <v>82</v>
      </c>
      <c r="B40" s="78"/>
      <c r="C40" s="78"/>
      <c r="D40" s="1">
        <f>IF('Customer Info'!C34=TRUE,0,IF($C$16&lt;0,0,$C$16))</f>
        <v>0</v>
      </c>
      <c r="E40" s="101" t="s">
        <v>41</v>
      </c>
      <c r="F40" s="102" t="s">
        <v>8</v>
      </c>
      <c r="G40" s="103"/>
      <c r="H40" s="103"/>
      <c r="I40" s="103">
        <f>'Rider Rates'!$B$70+'Rider Rates'!$C$70</f>
        <v>0</v>
      </c>
      <c r="J40" s="103">
        <f>SUM(G40:I40)</f>
        <v>0</v>
      </c>
      <c r="K40" s="104" t="s">
        <v>42</v>
      </c>
      <c r="L40" s="105"/>
      <c r="M40" s="105"/>
      <c r="N40" s="87">
        <f>ROUND($D$40*'Rider Rates'!$B$70,2)+ROUND($D$40*'Rider Rates'!$C$70,2)</f>
        <v>0</v>
      </c>
      <c r="O40" s="209">
        <f t="shared" si="0"/>
        <v>0</v>
      </c>
      <c r="P40" s="245">
        <f>'Rider Rates'!$D$70</f>
        <v>44531</v>
      </c>
      <c r="Q40" s="107"/>
      <c r="R40" s="108"/>
      <c r="S40" s="109"/>
      <c r="T40" s="78"/>
      <c r="U40" s="110"/>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row>
    <row r="41" spans="1:221" ht="13" x14ac:dyDescent="0.3">
      <c r="A41" s="99" t="s">
        <v>80</v>
      </c>
      <c r="B41" s="78"/>
      <c r="C41" s="78"/>
      <c r="D41" s="208">
        <f>$N$25</f>
        <v>9.4</v>
      </c>
      <c r="E41" s="101" t="s">
        <v>121</v>
      </c>
      <c r="F41" s="102" t="s">
        <v>8</v>
      </c>
      <c r="G41" s="111"/>
      <c r="H41" s="112"/>
      <c r="I41" s="120">
        <f>'Rider Rates'!$B$84</f>
        <v>2.9347000000000002E-2</v>
      </c>
      <c r="J41" s="120">
        <f>SUM(H41:I41)</f>
        <v>2.9347000000000002E-2</v>
      </c>
      <c r="K41" s="104"/>
      <c r="L41" s="105"/>
      <c r="M41" s="105"/>
      <c r="N41" s="105">
        <f>ROUND(N$25*I41,2)</f>
        <v>0.28000000000000003</v>
      </c>
      <c r="O41" s="209">
        <f t="shared" si="0"/>
        <v>0.28000000000000003</v>
      </c>
      <c r="P41" s="245">
        <f>'Rider Rates'!$D$84</f>
        <v>45383</v>
      </c>
      <c r="Q41" s="107"/>
      <c r="R41" s="108"/>
      <c r="S41" s="109"/>
      <c r="T41" s="78"/>
      <c r="U41" s="110"/>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row>
    <row r="42" spans="1:221" ht="13" x14ac:dyDescent="0.3">
      <c r="A42" s="99" t="s">
        <v>81</v>
      </c>
      <c r="B42" s="78"/>
      <c r="C42" s="78"/>
      <c r="D42" s="208">
        <f>$N$25</f>
        <v>9.4</v>
      </c>
      <c r="E42" s="101" t="s">
        <v>121</v>
      </c>
      <c r="F42" s="102" t="s">
        <v>8</v>
      </c>
      <c r="G42" s="114"/>
      <c r="H42" s="115"/>
      <c r="I42" s="120">
        <f>'Rider Rates'!$B$86</f>
        <v>6.6985699999999995E-2</v>
      </c>
      <c r="J42" s="120">
        <f>SUM(H42:I42)</f>
        <v>6.6985699999999995E-2</v>
      </c>
      <c r="K42" s="104"/>
      <c r="L42" s="105"/>
      <c r="M42" s="105"/>
      <c r="N42" s="105">
        <f>ROUND(N$25*I42,2)</f>
        <v>0.63</v>
      </c>
      <c r="O42" s="209">
        <f t="shared" si="0"/>
        <v>0.63</v>
      </c>
      <c r="P42" s="245">
        <f>'Rider Rates'!$D$86</f>
        <v>45167</v>
      </c>
      <c r="Q42" s="107"/>
      <c r="R42" s="108"/>
      <c r="S42" s="109"/>
      <c r="T42" s="78"/>
      <c r="U42" s="110"/>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row>
    <row r="43" spans="1:221" ht="13" x14ac:dyDescent="0.3">
      <c r="A43" s="210" t="s">
        <v>216</v>
      </c>
      <c r="B43" s="78"/>
      <c r="C43" s="78"/>
      <c r="D43" s="195"/>
      <c r="E43" s="113" t="s">
        <v>114</v>
      </c>
      <c r="F43" s="106"/>
      <c r="G43" s="114"/>
      <c r="H43" s="115"/>
      <c r="I43" s="196">
        <f>'Rider Rates'!$B$90</f>
        <v>15.91</v>
      </c>
      <c r="J43" s="196">
        <f>SUM(G43:I43)</f>
        <v>15.91</v>
      </c>
      <c r="K43" s="104"/>
      <c r="L43" s="105"/>
      <c r="M43" s="105"/>
      <c r="N43" s="105">
        <f>I43</f>
        <v>15.91</v>
      </c>
      <c r="O43" s="105">
        <f>SUM(L43:N43)</f>
        <v>15.91</v>
      </c>
      <c r="P43" s="245">
        <f>'Rider Rates'!$D$90</f>
        <v>45351</v>
      </c>
    </row>
    <row r="44" spans="1:221" x14ac:dyDescent="0.25">
      <c r="A44" s="241" t="s">
        <v>263</v>
      </c>
      <c r="B44" s="78"/>
      <c r="C44" s="78"/>
      <c r="D44" s="1">
        <f>$D$29</f>
        <v>0</v>
      </c>
      <c r="E44" s="101" t="s">
        <v>41</v>
      </c>
      <c r="F44" s="102" t="s">
        <v>8</v>
      </c>
      <c r="G44" s="103"/>
      <c r="H44" s="103"/>
      <c r="I44" s="103"/>
      <c r="J44" s="103">
        <f>'Rider Rates'!$B$95</f>
        <v>0</v>
      </c>
      <c r="K44" s="104" t="s">
        <v>42</v>
      </c>
      <c r="L44" s="105"/>
      <c r="M44" s="105"/>
      <c r="N44" s="87"/>
      <c r="O44" s="105">
        <f>ROUND($D44*('Rider Rates'!B$95),2)</f>
        <v>0</v>
      </c>
      <c r="P44" s="245">
        <f>'Rider Rates'!$D$95</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241" t="s">
        <v>264</v>
      </c>
      <c r="B45" s="78"/>
      <c r="C45" s="78"/>
      <c r="D45" s="1">
        <f>$D$30</f>
        <v>0</v>
      </c>
      <c r="E45" s="101" t="s">
        <v>41</v>
      </c>
      <c r="F45" s="102" t="s">
        <v>8</v>
      </c>
      <c r="G45" s="103"/>
      <c r="H45" s="103"/>
      <c r="I45" s="103"/>
      <c r="J45" s="103">
        <f>'Rider Rates'!$B$96</f>
        <v>0</v>
      </c>
      <c r="K45" s="104" t="s">
        <v>42</v>
      </c>
      <c r="L45" s="105"/>
      <c r="M45" s="105"/>
      <c r="N45" s="87"/>
      <c r="O45" s="105">
        <f>ROUND($D45*('Rider Rates'!B$96),2)</f>
        <v>0</v>
      </c>
      <c r="P45" s="245">
        <f>'Rider Rates'!$D$96</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99" t="s">
        <v>157</v>
      </c>
      <c r="B46" s="78"/>
      <c r="C46" s="78"/>
      <c r="D46" s="208">
        <f>$N$25</f>
        <v>9.4</v>
      </c>
      <c r="E46" s="101" t="s">
        <v>121</v>
      </c>
      <c r="F46" s="102" t="s">
        <v>8</v>
      </c>
      <c r="G46" s="114"/>
      <c r="H46" s="115"/>
      <c r="I46" s="120">
        <f>'Rider Rates'!$B$104</f>
        <v>0.21398439999999999</v>
      </c>
      <c r="J46" s="120">
        <f>SUM(H46:I46)</f>
        <v>0.21398439999999999</v>
      </c>
      <c r="K46" s="104"/>
      <c r="L46" s="105"/>
      <c r="M46" s="105"/>
      <c r="N46" s="105">
        <f>ROUND(N$25*I46,2)</f>
        <v>2.0099999999999998</v>
      </c>
      <c r="O46" s="105">
        <f t="shared" si="0"/>
        <v>2.0099999999999998</v>
      </c>
      <c r="P46" s="245">
        <f>'Rider Rates'!$D$104</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219</v>
      </c>
      <c r="B47" s="78"/>
      <c r="C47" s="78"/>
      <c r="D47" s="195"/>
      <c r="E47" s="113" t="s">
        <v>114</v>
      </c>
      <c r="F47" s="106"/>
      <c r="G47" s="114"/>
      <c r="H47" s="115"/>
      <c r="I47" s="196">
        <f>'Rider Rates'!$B$108</f>
        <v>0</v>
      </c>
      <c r="J47" s="196">
        <f>SUM(G47:I47)</f>
        <v>0</v>
      </c>
      <c r="K47" s="104"/>
      <c r="L47" s="105"/>
      <c r="M47" s="105"/>
      <c r="N47" s="105">
        <f>I47</f>
        <v>0</v>
      </c>
      <c r="O47" s="105">
        <f t="shared" ref="O47:O52" si="1">SUM(L47:N47)</f>
        <v>0</v>
      </c>
      <c r="P47" s="245">
        <f>'Rider Rates'!$D$108</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ht="13" x14ac:dyDescent="0.3">
      <c r="A48" s="210" t="s">
        <v>227</v>
      </c>
      <c r="B48" s="78"/>
      <c r="C48" s="78"/>
      <c r="D48" s="195"/>
      <c r="E48" s="113" t="s">
        <v>114</v>
      </c>
      <c r="F48" s="106"/>
      <c r="G48" s="114"/>
      <c r="H48" s="115"/>
      <c r="I48" s="260">
        <f>'Rider Rates'!B121</f>
        <v>5.83</v>
      </c>
      <c r="J48" s="196">
        <f>SUM(G48:I48)</f>
        <v>5.83</v>
      </c>
      <c r="K48" s="104"/>
      <c r="L48" s="105"/>
      <c r="M48" s="105"/>
      <c r="N48" s="262">
        <f>I48</f>
        <v>5.83</v>
      </c>
      <c r="O48" s="105">
        <f t="shared" si="1"/>
        <v>5.83</v>
      </c>
      <c r="P48" s="245">
        <f>'Rider Rates'!D121</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5">
      <c r="A49" s="99" t="s">
        <v>158</v>
      </c>
      <c r="B49" s="78"/>
      <c r="C49" s="78"/>
      <c r="D49" s="100">
        <f>'Customer Info'!$B$21+'Customer Info'!$B$22-'Customer Info'!$B$23</f>
        <v>0</v>
      </c>
      <c r="E49" s="101" t="s">
        <v>41</v>
      </c>
      <c r="F49" s="102" t="s">
        <v>8</v>
      </c>
      <c r="G49" s="103">
        <f>'Rider Rates'!$B$111</f>
        <v>3.8972999999999998E-3</v>
      </c>
      <c r="H49" s="103"/>
      <c r="I49" s="120"/>
      <c r="J49" s="237">
        <f>SUM(G49:H49)</f>
        <v>3.8972999999999998E-3</v>
      </c>
      <c r="K49" s="104" t="s">
        <v>42</v>
      </c>
      <c r="L49" s="105">
        <f>ROUND(D49*G49,2)</f>
        <v>0</v>
      </c>
      <c r="M49" s="105"/>
      <c r="N49" s="105"/>
      <c r="O49" s="105">
        <f t="shared" si="1"/>
        <v>0</v>
      </c>
      <c r="P49" s="245">
        <f>'Rider Rates'!$D$111</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5">
      <c r="A50" s="210" t="s">
        <v>218</v>
      </c>
      <c r="B50" s="78"/>
      <c r="C50" s="78"/>
      <c r="D50" s="1">
        <f>IF($C$16&lt;1,0,$C$16)</f>
        <v>0</v>
      </c>
      <c r="E50" s="101" t="s">
        <v>41</v>
      </c>
      <c r="F50" s="249" t="s">
        <v>8</v>
      </c>
      <c r="G50" s="165"/>
      <c r="H50" s="165"/>
      <c r="I50" s="251">
        <f>'Rider Rates'!B117</f>
        <v>-6.2E-4</v>
      </c>
      <c r="J50" s="251">
        <f>SUM(G50:I50)</f>
        <v>-6.2E-4</v>
      </c>
      <c r="K50" s="104" t="s">
        <v>42</v>
      </c>
      <c r="L50" s="105"/>
      <c r="M50" s="105"/>
      <c r="N50" s="105">
        <f>D50*I50</f>
        <v>0</v>
      </c>
      <c r="O50" s="105">
        <f t="shared" si="1"/>
        <v>0</v>
      </c>
      <c r="P50" s="245">
        <f>'Rider Rates'!D117</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78" t="s">
        <v>243</v>
      </c>
      <c r="B51" s="78"/>
      <c r="C51" s="78"/>
      <c r="D51" s="100">
        <f>IF(C16&lt;0,0,IF(C16&gt;833000,833000,C16))</f>
        <v>0</v>
      </c>
      <c r="E51" s="101" t="s">
        <v>41</v>
      </c>
      <c r="F51" s="102" t="s">
        <v>8</v>
      </c>
      <c r="G51" s="267"/>
      <c r="H51" s="267"/>
      <c r="I51" s="267">
        <f>'Rider Rates'!$B$125</f>
        <v>2.9050000000000001E-4</v>
      </c>
      <c r="J51" s="267">
        <f>SUM(G51:I51)</f>
        <v>2.9050000000000001E-4</v>
      </c>
      <c r="K51" s="104" t="s">
        <v>42</v>
      </c>
      <c r="L51" s="268"/>
      <c r="M51" s="268"/>
      <c r="N51" s="268">
        <f>IF(D51*J51&gt;'Rider Rates'!$C$125,'Rider Rates'!$C$125,D51*J51)</f>
        <v>0</v>
      </c>
      <c r="O51" s="268">
        <f t="shared" si="1"/>
        <v>0</v>
      </c>
      <c r="P51" s="266">
        <f>'Rider Rates'!$E$125</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78" t="s">
        <v>244</v>
      </c>
      <c r="B52" s="78"/>
      <c r="C52" s="78"/>
      <c r="D52" s="123">
        <f>IF(C16&gt;833000,C16-833000,0)</f>
        <v>0</v>
      </c>
      <c r="E52" s="101" t="s">
        <v>41</v>
      </c>
      <c r="F52" s="102" t="s">
        <v>8</v>
      </c>
      <c r="G52" s="267"/>
      <c r="H52" s="267"/>
      <c r="I52" s="267">
        <f>'Rider Rates'!$B$126</f>
        <v>0</v>
      </c>
      <c r="J52" s="267">
        <f>SUM(G52:I52)</f>
        <v>0</v>
      </c>
      <c r="K52" s="104" t="s">
        <v>42</v>
      </c>
      <c r="L52" s="268"/>
      <c r="M52" s="268"/>
      <c r="N52" s="268">
        <f>D52*J52</f>
        <v>0</v>
      </c>
      <c r="O52" s="268">
        <f t="shared" si="1"/>
        <v>0</v>
      </c>
      <c r="P52" s="266">
        <f>'Rider Rates'!$E$126</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241" t="s">
        <v>252</v>
      </c>
      <c r="B53" s="78"/>
      <c r="C53" s="78"/>
      <c r="D53" s="100">
        <f>D16</f>
        <v>0</v>
      </c>
      <c r="E53" s="101" t="s">
        <v>41</v>
      </c>
      <c r="F53" s="249" t="s">
        <v>8</v>
      </c>
      <c r="G53" s="103"/>
      <c r="H53" s="103"/>
      <c r="I53" s="103">
        <f>'Rider Rates'!$B$130</f>
        <v>0</v>
      </c>
      <c r="J53" s="237">
        <f>SUM(G53:I53)</f>
        <v>0</v>
      </c>
      <c r="K53" s="104" t="s">
        <v>42</v>
      </c>
      <c r="L53" s="105"/>
      <c r="M53" s="105"/>
      <c r="N53" s="105">
        <f>D53*J53</f>
        <v>0</v>
      </c>
      <c r="O53" s="105">
        <f>SUM(L53:N53)</f>
        <v>0</v>
      </c>
      <c r="P53" s="245">
        <f>'Rider Rates'!$D$130</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251</v>
      </c>
      <c r="B54" s="78"/>
      <c r="C54" s="78"/>
      <c r="D54" s="100"/>
      <c r="E54" s="101" t="s">
        <v>114</v>
      </c>
      <c r="F54" s="102" t="s">
        <v>8</v>
      </c>
      <c r="G54" s="265"/>
      <c r="H54" s="265"/>
      <c r="I54" s="265">
        <f>'Rider Rates'!$B$137</f>
        <v>0</v>
      </c>
      <c r="J54" s="265">
        <f>SUM(G54:I54)</f>
        <v>0</v>
      </c>
      <c r="K54" s="104"/>
      <c r="L54" s="209"/>
      <c r="M54" s="209"/>
      <c r="N54" s="209">
        <f>J54</f>
        <v>0</v>
      </c>
      <c r="O54" s="209">
        <f>SUM(L54:N54)</f>
        <v>0</v>
      </c>
      <c r="P54" s="266">
        <f>'Rider Rates'!$D$137</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253</v>
      </c>
      <c r="B55" s="78"/>
      <c r="C55" s="78"/>
      <c r="D55" s="100"/>
      <c r="E55" s="101"/>
      <c r="F55" s="102"/>
      <c r="G55" s="265"/>
      <c r="H55" s="265"/>
      <c r="I55" s="265"/>
      <c r="J55" s="265"/>
      <c r="K55" s="104"/>
      <c r="L55" s="209"/>
      <c r="M55" s="209"/>
      <c r="N55" s="209"/>
      <c r="O55" s="209"/>
      <c r="P55" s="266"/>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ht="13" x14ac:dyDescent="0.3">
      <c r="A56" s="179" t="s">
        <v>70</v>
      </c>
      <c r="B56" s="148"/>
      <c r="C56" s="148"/>
      <c r="D56" s="180"/>
      <c r="E56" s="181"/>
      <c r="F56" s="182"/>
      <c r="G56" s="182"/>
      <c r="H56" s="182"/>
      <c r="I56" s="182"/>
      <c r="J56" s="182"/>
      <c r="K56" s="183"/>
      <c r="L56" s="169">
        <f>SUM(L29:L55)</f>
        <v>0</v>
      </c>
      <c r="M56" s="169">
        <f>SUM(M29:M55)</f>
        <v>0</v>
      </c>
      <c r="N56" s="169">
        <f>SUM(N29:N55)</f>
        <v>24.659999999999997</v>
      </c>
      <c r="O56" s="169">
        <f>SUM(O29:O55)</f>
        <v>24.659999999999997</v>
      </c>
      <c r="P56" s="184"/>
    </row>
    <row r="57" spans="1:221" ht="13" x14ac:dyDescent="0.3">
      <c r="A57" s="37"/>
      <c r="D57" s="1"/>
      <c r="E57" s="35"/>
      <c r="F57" s="4"/>
      <c r="G57" s="42"/>
      <c r="H57" s="42"/>
      <c r="I57" s="42"/>
      <c r="J57" s="42"/>
      <c r="K57" s="36"/>
      <c r="L57" s="36"/>
      <c r="M57" s="36"/>
      <c r="N57" s="36"/>
      <c r="O57" s="34"/>
      <c r="P57" s="36"/>
    </row>
    <row r="58" spans="1:221" ht="13" x14ac:dyDescent="0.3">
      <c r="A58" s="271" t="s">
        <v>71</v>
      </c>
      <c r="B58" s="92"/>
      <c r="C58" s="92"/>
      <c r="D58" s="92"/>
      <c r="E58" s="92"/>
      <c r="F58" s="92"/>
      <c r="G58" s="92"/>
      <c r="H58" s="92"/>
      <c r="I58" s="92"/>
      <c r="J58" s="92"/>
      <c r="K58" s="92"/>
      <c r="L58" s="98">
        <f>L25+L56</f>
        <v>0</v>
      </c>
      <c r="M58" s="98">
        <f>M25+M56</f>
        <v>0</v>
      </c>
      <c r="N58" s="98">
        <f>N25+N56</f>
        <v>34.059999999999995</v>
      </c>
      <c r="O58" s="98">
        <f>O25+O56</f>
        <v>34.059999999999995</v>
      </c>
      <c r="P58" s="98"/>
    </row>
    <row r="59" spans="1:221" ht="13" x14ac:dyDescent="0.3">
      <c r="A59" s="37"/>
      <c r="B59" s="37"/>
      <c r="C59" s="37"/>
      <c r="D59" s="37"/>
      <c r="E59" s="37"/>
      <c r="F59" s="37"/>
      <c r="G59" s="37"/>
      <c r="H59" s="37"/>
      <c r="I59" s="37"/>
      <c r="J59" s="37"/>
      <c r="K59" s="37"/>
      <c r="L59" s="37"/>
      <c r="M59" s="37"/>
      <c r="N59" s="37"/>
      <c r="O59" s="40"/>
      <c r="P59" s="40"/>
    </row>
    <row r="60" spans="1:221" ht="13" x14ac:dyDescent="0.3">
      <c r="A60" s="37" t="s">
        <v>37</v>
      </c>
      <c r="B60" s="37"/>
      <c r="C60" s="37"/>
      <c r="D60" s="37"/>
      <c r="E60" s="37"/>
      <c r="F60" s="37"/>
      <c r="G60" s="37"/>
      <c r="H60" s="37"/>
      <c r="I60" s="37"/>
      <c r="J60" s="37"/>
      <c r="K60" s="37"/>
      <c r="L60" s="37"/>
      <c r="M60" s="37"/>
      <c r="N60" s="37"/>
      <c r="O60" s="45">
        <f>O23+O56</f>
        <v>34.059999999999995</v>
      </c>
      <c r="P60" s="245">
        <v>40967</v>
      </c>
    </row>
    <row r="61" spans="1:221" ht="13" x14ac:dyDescent="0.3">
      <c r="A61" s="37"/>
      <c r="B61" s="37"/>
      <c r="C61" s="37"/>
      <c r="D61" s="37"/>
      <c r="E61" s="37"/>
      <c r="F61" s="37"/>
      <c r="G61" s="46"/>
      <c r="H61" s="46"/>
      <c r="I61" s="46"/>
      <c r="J61" s="46"/>
      <c r="K61" s="36"/>
      <c r="L61" s="36"/>
      <c r="M61" s="36"/>
      <c r="N61" s="36"/>
      <c r="O61" s="40"/>
    </row>
    <row r="62" spans="1:221" ht="13" x14ac:dyDescent="0.3">
      <c r="A62" s="41" t="s">
        <v>116</v>
      </c>
      <c r="B62" s="37"/>
      <c r="C62" s="37"/>
      <c r="D62" s="37"/>
      <c r="E62" s="37"/>
      <c r="F62" s="37"/>
      <c r="G62" s="46"/>
      <c r="H62" s="46"/>
      <c r="I62" s="46"/>
      <c r="J62" s="46"/>
      <c r="K62" s="36"/>
      <c r="L62" s="36"/>
      <c r="M62" s="36"/>
      <c r="N62" s="36"/>
      <c r="O62" s="138">
        <f>MAX($O$58,$O$60)</f>
        <v>34.059999999999995</v>
      </c>
    </row>
    <row r="63" spans="1:221" ht="13" x14ac:dyDescent="0.3">
      <c r="A63" s="37"/>
      <c r="B63" s="37"/>
      <c r="C63" s="37"/>
      <c r="D63" s="37"/>
      <c r="E63" s="37"/>
      <c r="F63" s="37"/>
      <c r="G63" s="46"/>
      <c r="H63" s="46"/>
      <c r="I63" s="46"/>
      <c r="J63" s="46"/>
      <c r="K63" s="36"/>
      <c r="L63" s="36"/>
      <c r="M63" s="36"/>
      <c r="N63" s="36"/>
      <c r="O63" s="40"/>
    </row>
    <row r="64" spans="1:221" ht="13" x14ac:dyDescent="0.3">
      <c r="A64" s="37"/>
      <c r="B64" s="37"/>
      <c r="C64" s="37"/>
      <c r="D64" s="37"/>
      <c r="E64" s="37"/>
      <c r="F64" s="37"/>
      <c r="G64" s="96" t="s">
        <v>85</v>
      </c>
      <c r="H64" s="46"/>
      <c r="I64" s="37"/>
      <c r="J64" s="46"/>
      <c r="K64" s="36"/>
      <c r="L64" s="191"/>
      <c r="M64" s="191"/>
      <c r="N64" s="191"/>
      <c r="O64" s="191">
        <f>ROUND(IF($C$16&lt;1,0,$O$62/($C$16*100)*10000),2)</f>
        <v>0</v>
      </c>
      <c r="P64" s="37" t="s">
        <v>86</v>
      </c>
    </row>
    <row r="65" spans="1:16" ht="13" x14ac:dyDescent="0.3">
      <c r="A65" s="37"/>
      <c r="B65" s="37"/>
      <c r="C65" s="37"/>
      <c r="D65" s="37"/>
      <c r="E65" s="37"/>
      <c r="F65" s="37"/>
      <c r="G65" s="242" t="s">
        <v>199</v>
      </c>
      <c r="H65" s="136"/>
      <c r="I65" s="133"/>
      <c r="J65" s="136"/>
      <c r="K65" s="137"/>
      <c r="L65" s="78"/>
      <c r="M65" s="78"/>
      <c r="N65" s="78"/>
      <c r="O65" s="243">
        <f>ROUND(IF($C$16&lt;1,0,(L58)/($C$16*100)*10000),2)</f>
        <v>0</v>
      </c>
      <c r="P65" s="25" t="s">
        <v>86</v>
      </c>
    </row>
    <row r="66" spans="1:16" ht="13" x14ac:dyDescent="0.3">
      <c r="A66" s="37"/>
      <c r="B66" s="37"/>
      <c r="C66" s="37"/>
      <c r="D66" s="37"/>
      <c r="E66" s="37"/>
      <c r="F66" s="37"/>
      <c r="G66" s="96"/>
      <c r="H66" s="46"/>
      <c r="I66" s="96"/>
      <c r="J66" s="46"/>
      <c r="K66" s="36"/>
      <c r="L66" s="36"/>
      <c r="M66" s="36"/>
      <c r="N66" s="36"/>
      <c r="O66" s="130"/>
      <c r="P66" s="37"/>
    </row>
    <row r="67" spans="1:16" ht="20.25" customHeight="1" x14ac:dyDescent="0.4">
      <c r="A67" s="3"/>
      <c r="B67" s="37"/>
      <c r="C67" s="37"/>
      <c r="D67" s="228" t="str">
        <f>IF('Customer Info'!$C$32=TRUE,"Notice: Billing Charge does not include Self Assessed KWH Tax"," ")</f>
        <v xml:space="preserve"> </v>
      </c>
      <c r="E67" s="3"/>
      <c r="F67" s="4"/>
      <c r="G67" s="121"/>
      <c r="H67" s="55"/>
      <c r="I67" s="34"/>
      <c r="J67" s="55"/>
      <c r="K67" s="37"/>
      <c r="L67" s="37"/>
      <c r="M67" s="37"/>
      <c r="N67" s="34"/>
    </row>
    <row r="68" spans="1:16" ht="13" x14ac:dyDescent="0.3">
      <c r="A68" s="37"/>
      <c r="B68" s="37"/>
      <c r="C68" s="37"/>
      <c r="D68" s="54"/>
      <c r="E68" s="3"/>
      <c r="F68" s="4"/>
      <c r="G68" s="55"/>
      <c r="H68" s="55"/>
      <c r="I68" s="93"/>
      <c r="J68" s="55"/>
      <c r="K68" s="37"/>
      <c r="L68" s="37"/>
      <c r="M68" s="37"/>
      <c r="N68" s="37"/>
      <c r="O68" s="40"/>
    </row>
    <row r="69" spans="1:16" ht="13" x14ac:dyDescent="0.3">
      <c r="A69" s="37"/>
      <c r="B69" s="37"/>
      <c r="C69" s="37"/>
      <c r="D69" s="54"/>
      <c r="E69" s="3"/>
      <c r="F69" s="4"/>
      <c r="G69" s="55"/>
      <c r="H69" s="55"/>
      <c r="I69" s="55"/>
      <c r="J69" s="55"/>
      <c r="K69" s="37"/>
      <c r="L69" s="37"/>
      <c r="M69" s="37"/>
      <c r="N69" s="37"/>
      <c r="O69" s="40"/>
    </row>
    <row r="70" spans="1:16" ht="13" x14ac:dyDescent="0.3">
      <c r="A70" s="41"/>
      <c r="B70" s="37"/>
      <c r="C70" s="37"/>
      <c r="D70" s="37"/>
      <c r="E70" s="37"/>
      <c r="F70" s="37"/>
      <c r="G70" s="37"/>
      <c r="H70" s="37"/>
      <c r="J70" s="37"/>
      <c r="K70" s="37"/>
      <c r="L70" s="40"/>
      <c r="M70" s="40"/>
      <c r="N70" s="40"/>
      <c r="O70" s="138"/>
    </row>
    <row r="71" spans="1:16" ht="13" x14ac:dyDescent="0.3">
      <c r="B71" s="37"/>
      <c r="C71" s="37"/>
      <c r="D71" s="37"/>
      <c r="E71" s="37"/>
      <c r="F71" s="37"/>
      <c r="G71" s="96"/>
      <c r="H71" s="37"/>
      <c r="I71" s="37"/>
      <c r="J71" s="37"/>
      <c r="K71" s="37"/>
      <c r="L71" s="60"/>
      <c r="M71" s="60"/>
      <c r="N71" s="60"/>
      <c r="O71" s="130"/>
      <c r="P71" s="37"/>
    </row>
    <row r="72" spans="1:16" ht="13" x14ac:dyDescent="0.3">
      <c r="G72" s="133"/>
      <c r="H72" s="56"/>
      <c r="I72" s="133"/>
      <c r="J72" s="56"/>
      <c r="K72" s="56"/>
      <c r="L72" s="134"/>
      <c r="M72" s="134"/>
      <c r="N72" s="134"/>
      <c r="O72" s="135"/>
      <c r="P72" s="25"/>
    </row>
    <row r="74" spans="1:16" x14ac:dyDescent="0.25">
      <c r="A74" s="434"/>
    </row>
    <row r="75" spans="1:16" x14ac:dyDescent="0.25">
      <c r="A75" s="434"/>
    </row>
    <row r="76" spans="1:16" x14ac:dyDescent="0.25">
      <c r="A76" s="434"/>
    </row>
    <row r="77" spans="1:16" x14ac:dyDescent="0.25">
      <c r="A77" s="434"/>
    </row>
    <row r="78" spans="1:16" x14ac:dyDescent="0.25">
      <c r="A78" s="434"/>
    </row>
    <row r="79" spans="1:16" x14ac:dyDescent="0.25">
      <c r="A79" s="434"/>
    </row>
    <row r="80" spans="1:1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sheetData>
  <sheetProtection algorithmName="SHA-512" hashValue="CteShjg+4VIfj6A4MhscPbxKlpNS/MgyBFk2mr2TuyVHllmbwsBrjUfxgsJXAk0NbnqhYQKAoa39e+fPNJS8kQ==" saltValue="abLXxkYmBYsG5KZczGUTEQ==" spinCount="100000" sheet="1" objects="1" scenarios="1"/>
  <mergeCells count="26">
    <mergeCell ref="EO2:FD2"/>
    <mergeCell ref="FE2:FT2"/>
    <mergeCell ref="A1:P1"/>
    <mergeCell ref="A2:P2"/>
    <mergeCell ref="Q2:AF2"/>
    <mergeCell ref="AG2:AV2"/>
    <mergeCell ref="AW2:BL2"/>
    <mergeCell ref="BM2:CB2"/>
    <mergeCell ref="A3:P3"/>
    <mergeCell ref="CC2:CR2"/>
    <mergeCell ref="CS2:DH2"/>
    <mergeCell ref="DI2:DX2"/>
    <mergeCell ref="DY2:EN2"/>
    <mergeCell ref="FU2:GJ2"/>
    <mergeCell ref="GK2:GZ2"/>
    <mergeCell ref="HA2:HP2"/>
    <mergeCell ref="HQ2:IF2"/>
    <mergeCell ref="IG2:IV2"/>
    <mergeCell ref="A74:A88"/>
    <mergeCell ref="A4:P4"/>
    <mergeCell ref="A7:P7"/>
    <mergeCell ref="A11:I11"/>
    <mergeCell ref="D18:H18"/>
    <mergeCell ref="D19:H19"/>
    <mergeCell ref="G21:J21"/>
    <mergeCell ref="L21:O21"/>
  </mergeCells>
  <printOptions horizontalCentered="1"/>
  <pageMargins left="0.5" right="0.5" top="0.25" bottom="0.25" header="0.25" footer="0.26"/>
  <pageSetup scale="60" orientation="landscape" r:id="rId1"/>
  <headerFooter alignWithMargins="0"/>
  <rowBreaks count="1" manualBreakCount="1">
    <brk id="7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93186" r:id="rId5" name="Button 2">
              <controlPr defaultSize="0" print="0" autoFill="0" autoPict="0" macro="[0]!Info">
                <anchor moveWithCells="1">
                  <from>
                    <xdr:col>15</xdr:col>
                    <xdr:colOff>279400</xdr:colOff>
                    <xdr:row>82</xdr:row>
                    <xdr:rowOff>50800</xdr:rowOff>
                  </from>
                  <to>
                    <xdr:col>16</xdr:col>
                    <xdr:colOff>31750</xdr:colOff>
                    <xdr:row>83</xdr:row>
                    <xdr:rowOff>88900</xdr:rowOff>
                  </to>
                </anchor>
              </controlPr>
            </control>
          </mc:Choice>
        </mc:AlternateContent>
        <mc:AlternateContent xmlns:mc="http://schemas.openxmlformats.org/markup-compatibility/2006">
          <mc:Choice Requires="x14">
            <control shapeId="93187"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3188"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3189"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3190"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3191"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3192"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3193"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3194"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3195"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3196"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3197"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3198"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3199"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3200"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3201"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3202"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3203"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3204"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3205"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3206"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3207"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3208"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3209"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3210"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3211"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3212"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3213"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3214"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3215"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3216"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3217"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3218"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3219"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3220"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3221"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3222"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3223"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3224"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3225"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3226"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3227"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3228"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3229"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3230"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3231"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3232"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3233"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3234"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3235"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3236"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3237"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3238"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3239"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93240"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93241"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93242"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88"/>
  <sheetViews>
    <sheetView showGridLines="0" zoomScale="80" zoomScaleNormal="80" workbookViewId="0">
      <selection activeCell="C9" sqref="C9"/>
    </sheetView>
  </sheetViews>
  <sheetFormatPr defaultRowHeight="12.5" x14ac:dyDescent="0.25"/>
  <cols>
    <col min="1" max="1" width="31" customWidth="1"/>
    <col min="2" max="2" width="2.1796875" customWidth="1"/>
    <col min="3" max="3" width="19.26953125" customWidth="1"/>
    <col min="4" max="4" width="15.26953125" customWidth="1"/>
    <col min="5" max="5" width="9.81640625" customWidth="1"/>
    <col min="6" max="6" width="3.7265625" customWidth="1"/>
    <col min="7" max="8" width="13.26953125" customWidth="1"/>
    <col min="9" max="9" width="14.54296875" customWidth="1"/>
    <col min="10" max="10" width="13.26953125" customWidth="1"/>
    <col min="11" max="11" width="7" customWidth="1"/>
    <col min="12" max="12" width="15.1796875" customWidth="1"/>
    <col min="13" max="14" width="14.453125" customWidth="1"/>
    <col min="15" max="15" width="16.26953125" bestFit="1" customWidth="1"/>
    <col min="16" max="16" width="13.81640625" bestFit="1" customWidth="1"/>
    <col min="18" max="26" width="9.1796875" hidden="1" customWidth="1"/>
    <col min="27" max="27" width="10.54296875" hidden="1" customWidth="1"/>
    <col min="28" max="29" width="9.1796875" hidden="1" customWidth="1"/>
    <col min="30" max="30" width="10" hidden="1" customWidth="1"/>
    <col min="31" max="31" width="0" hidden="1" customWidth="1"/>
  </cols>
  <sheetData>
    <row r="1" spans="1:256" ht="20" x14ac:dyDescent="0.4">
      <c r="A1" s="451" t="s">
        <v>119</v>
      </c>
      <c r="B1" s="451"/>
      <c r="C1" s="451"/>
      <c r="D1" s="451"/>
      <c r="E1" s="451"/>
      <c r="F1" s="451"/>
      <c r="G1" s="451"/>
      <c r="H1" s="451"/>
      <c r="I1" s="451"/>
      <c r="J1" s="451"/>
      <c r="K1" s="451"/>
      <c r="L1" s="451"/>
      <c r="M1" s="451"/>
      <c r="N1" s="451"/>
      <c r="O1" s="451"/>
      <c r="P1" s="451"/>
    </row>
    <row r="2" spans="1:256" ht="20" x14ac:dyDescent="0.4">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436"/>
      <c r="HZ2" s="436"/>
      <c r="IA2" s="436"/>
      <c r="IB2" s="436"/>
      <c r="IC2" s="436"/>
      <c r="ID2" s="436"/>
      <c r="IE2" s="436"/>
      <c r="IF2" s="436"/>
      <c r="IG2" s="436"/>
      <c r="IH2" s="436"/>
      <c r="II2" s="436"/>
      <c r="IJ2" s="436"/>
      <c r="IK2" s="436"/>
      <c r="IL2" s="436"/>
      <c r="IM2" s="436"/>
      <c r="IN2" s="436"/>
      <c r="IO2" s="436"/>
      <c r="IP2" s="436"/>
      <c r="IQ2" s="436"/>
      <c r="IR2" s="436"/>
      <c r="IS2" s="436"/>
      <c r="IT2" s="436"/>
      <c r="IU2" s="436"/>
      <c r="IV2" s="436"/>
    </row>
    <row r="3" spans="1:256" ht="18" x14ac:dyDescent="0.4">
      <c r="A3" s="452" t="s">
        <v>274</v>
      </c>
      <c r="B3" s="452"/>
      <c r="C3" s="452"/>
      <c r="D3" s="452"/>
      <c r="E3" s="452"/>
      <c r="F3" s="452"/>
      <c r="G3" s="452"/>
      <c r="H3" s="452"/>
      <c r="I3" s="452"/>
      <c r="J3" s="452"/>
      <c r="K3" s="452"/>
      <c r="L3" s="452"/>
      <c r="M3" s="452"/>
      <c r="N3" s="452"/>
      <c r="O3" s="452"/>
      <c r="P3" s="452"/>
    </row>
    <row r="4" spans="1:256"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256" ht="15.5" x14ac:dyDescent="0.35">
      <c r="A5" s="75"/>
      <c r="B5" s="75"/>
      <c r="C5" s="75"/>
      <c r="D5" s="75"/>
      <c r="E5" s="75"/>
      <c r="F5" s="75"/>
      <c r="G5" s="75"/>
      <c r="H5" s="75"/>
      <c r="I5" s="75"/>
      <c r="J5" s="75"/>
      <c r="K5" s="75"/>
    </row>
    <row r="6" spans="1:256" x14ac:dyDescent="0.25">
      <c r="A6" s="269">
        <f ca="1">TODAY()</f>
        <v>45378</v>
      </c>
      <c r="B6" s="210" t="s">
        <v>273</v>
      </c>
      <c r="C6" s="276"/>
      <c r="D6" s="276"/>
      <c r="E6" s="276"/>
      <c r="F6" s="276"/>
      <c r="G6" s="276"/>
      <c r="H6" s="276"/>
      <c r="I6" s="276"/>
      <c r="J6" s="276"/>
      <c r="K6" s="276"/>
    </row>
    <row r="7" spans="1:256" ht="25" x14ac:dyDescent="0.5">
      <c r="A7" s="453"/>
      <c r="B7" s="453"/>
      <c r="C7" s="453"/>
      <c r="D7" s="453"/>
      <c r="E7" s="453"/>
      <c r="F7" s="453"/>
      <c r="G7" s="453"/>
      <c r="H7" s="453"/>
      <c r="I7" s="453"/>
      <c r="J7" s="453"/>
      <c r="K7" s="453"/>
      <c r="L7" s="453"/>
      <c r="M7" s="453"/>
      <c r="N7" s="453"/>
      <c r="O7" s="453"/>
      <c r="P7" s="453"/>
    </row>
    <row r="8" spans="1:256" ht="15.5" x14ac:dyDescent="0.35">
      <c r="A8" s="23" t="s">
        <v>2</v>
      </c>
      <c r="B8" s="24"/>
      <c r="C8" s="25">
        <f>'Customer Info'!B7</f>
        <v>0</v>
      </c>
      <c r="I8" s="26"/>
    </row>
    <row r="9" spans="1:256" ht="15.5" x14ac:dyDescent="0.35">
      <c r="A9" s="27" t="s">
        <v>26</v>
      </c>
      <c r="B9" s="24"/>
      <c r="C9" s="25">
        <f>'Customer Info'!B8</f>
        <v>0</v>
      </c>
    </row>
    <row r="10" spans="1:256" ht="13" x14ac:dyDescent="0.3">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3">
      <c r="A11" s="446"/>
      <c r="B11" s="446"/>
      <c r="C11" s="446"/>
      <c r="D11" s="446"/>
      <c r="E11" s="446"/>
      <c r="F11" s="446"/>
      <c r="G11" s="446"/>
      <c r="H11" s="446"/>
      <c r="I11" s="446"/>
      <c r="R11" t="s">
        <v>114</v>
      </c>
      <c r="S11" s="145" t="s">
        <v>101</v>
      </c>
      <c r="T11" s="145" t="s">
        <v>102</v>
      </c>
      <c r="U11" s="145" t="s">
        <v>103</v>
      </c>
      <c r="V11" s="145" t="s">
        <v>104</v>
      </c>
      <c r="W11" s="145" t="s">
        <v>105</v>
      </c>
      <c r="X11" s="145" t="s">
        <v>106</v>
      </c>
      <c r="Y11" s="145" t="s">
        <v>107</v>
      </c>
      <c r="Z11" s="145" t="s">
        <v>108</v>
      </c>
      <c r="AA11" s="145" t="s">
        <v>109</v>
      </c>
      <c r="AB11" s="145" t="s">
        <v>111</v>
      </c>
      <c r="AC11" s="145" t="s">
        <v>110</v>
      </c>
      <c r="AD11" s="145" t="s">
        <v>112</v>
      </c>
    </row>
    <row r="12" spans="1:256" ht="13" x14ac:dyDescent="0.3">
      <c r="A12" s="28" t="s">
        <v>27</v>
      </c>
      <c r="B12" s="22"/>
      <c r="C12" s="22"/>
      <c r="D12" s="22"/>
      <c r="E12" s="22"/>
      <c r="F12" s="22"/>
      <c r="G12" s="22"/>
      <c r="H12" s="22"/>
      <c r="I12" s="22"/>
      <c r="J12" s="22"/>
      <c r="K12" s="22"/>
      <c r="L12" s="22"/>
      <c r="M12" s="22"/>
      <c r="N12" s="22"/>
      <c r="O12" s="22"/>
      <c r="P12" s="22"/>
      <c r="R12" s="3" t="s">
        <v>196</v>
      </c>
      <c r="S12" s="207">
        <f>'Rider Rates'!$C$24</f>
        <v>0.10234</v>
      </c>
      <c r="T12" s="207">
        <f>'Rider Rates'!$C$24</f>
        <v>0.10234</v>
      </c>
      <c r="U12" s="207">
        <f>'Rider Rates'!$C$24</f>
        <v>0.10234</v>
      </c>
      <c r="V12" s="207">
        <f>'Rider Rates'!$C$24</f>
        <v>0.10234</v>
      </c>
      <c r="W12" s="207">
        <f>'Rider Rates'!$C$24</f>
        <v>0.10234</v>
      </c>
      <c r="X12" s="207">
        <f>'Rider Rates'!$B$24</f>
        <v>0.10234</v>
      </c>
      <c r="Y12" s="207">
        <f>'Rider Rates'!$B$24</f>
        <v>0.10234</v>
      </c>
      <c r="Z12" s="207">
        <f>'Rider Rates'!$B$24</f>
        <v>0.10234</v>
      </c>
      <c r="AA12" s="207">
        <f>'Rider Rates'!$B$24</f>
        <v>0.10234</v>
      </c>
      <c r="AB12" s="207">
        <f>'Rider Rates'!$C$24</f>
        <v>0.10234</v>
      </c>
      <c r="AC12" s="207">
        <f>'Rider Rates'!$C$24</f>
        <v>0.10234</v>
      </c>
      <c r="AD12" s="207">
        <f>'Rider Rates'!$C$24</f>
        <v>0.10234</v>
      </c>
      <c r="AE12" s="207"/>
      <c r="AF12" s="207"/>
    </row>
    <row r="13" spans="1:256" x14ac:dyDescent="0.25">
      <c r="A13" s="18"/>
      <c r="B13" s="18"/>
      <c r="C13" s="59" t="s">
        <v>54</v>
      </c>
      <c r="D13" s="59" t="s">
        <v>55</v>
      </c>
      <c r="E13" s="18"/>
      <c r="F13" s="18"/>
      <c r="G13" s="18"/>
      <c r="H13" s="18"/>
      <c r="I13" s="18"/>
      <c r="J13" s="18"/>
      <c r="K13" s="18"/>
      <c r="L13" s="18"/>
      <c r="M13" s="18"/>
      <c r="N13" s="18"/>
      <c r="O13" s="18"/>
    </row>
    <row r="14" spans="1:256" x14ac:dyDescent="0.25">
      <c r="A14" s="29" t="s">
        <v>28</v>
      </c>
      <c r="B14" s="29"/>
      <c r="C14" s="44">
        <f>'Customer Info'!B18</f>
        <v>0</v>
      </c>
      <c r="D14" s="44">
        <f>ROUND(C14*C17,1)</f>
        <v>0</v>
      </c>
      <c r="E14" s="29" t="s">
        <v>45</v>
      </c>
      <c r="F14" s="30"/>
      <c r="G14" s="29" t="s">
        <v>15</v>
      </c>
      <c r="I14" s="53" t="s">
        <v>15</v>
      </c>
      <c r="J14" s="29"/>
      <c r="K14" s="29"/>
      <c r="L14" s="29"/>
      <c r="M14" s="29"/>
      <c r="N14" s="29"/>
    </row>
    <row r="15" spans="1:256" x14ac:dyDescent="0.25">
      <c r="A15" s="31" t="s">
        <v>29</v>
      </c>
      <c r="B15" s="31"/>
      <c r="C15" s="44">
        <f>'Customer Info'!B19</f>
        <v>0</v>
      </c>
      <c r="D15" s="44">
        <f>C15*C17</f>
        <v>0</v>
      </c>
      <c r="E15" s="29" t="s">
        <v>45</v>
      </c>
      <c r="F15" s="33"/>
      <c r="G15" s="31" t="s">
        <v>30</v>
      </c>
      <c r="I15" s="51" t="str">
        <f>IF(MAX(C14,C15)&gt;0,C16/(MAX(C14,C15)*730), " ")</f>
        <v xml:space="preserve"> </v>
      </c>
      <c r="J15" s="31"/>
      <c r="K15" s="31"/>
      <c r="L15" s="31"/>
      <c r="M15" s="31"/>
      <c r="N15" s="31"/>
      <c r="X15" s="207"/>
      <c r="Y15" s="207"/>
      <c r="Z15" s="207"/>
      <c r="AA15" s="207"/>
    </row>
    <row r="16" spans="1:256" x14ac:dyDescent="0.25">
      <c r="A16" s="31" t="s">
        <v>43</v>
      </c>
      <c r="B16" s="31"/>
      <c r="C16" s="32">
        <f>IF('Customer Info'!B21+'Customer Info'!B22-'Customer Info'!B23&lt;0,0,'Customer Info'!B21+'Customer Info'!B22-'Customer Info'!B23)</f>
        <v>0</v>
      </c>
      <c r="D16" s="32">
        <f>C16*C17</f>
        <v>0</v>
      </c>
      <c r="E16" s="31" t="s">
        <v>41</v>
      </c>
      <c r="F16" s="33"/>
      <c r="G16" s="31"/>
      <c r="H16" s="31"/>
      <c r="I16" s="31"/>
      <c r="J16" s="31"/>
      <c r="K16" s="31"/>
      <c r="L16" s="31"/>
      <c r="M16" s="31"/>
      <c r="N16" s="31"/>
      <c r="O16" s="31"/>
    </row>
    <row r="17" spans="1:30" ht="13" x14ac:dyDescent="0.3">
      <c r="A17" s="31" t="s">
        <v>53</v>
      </c>
      <c r="B17" s="31"/>
      <c r="C17" s="58">
        <f>+'Customer Info'!E18</f>
        <v>1</v>
      </c>
      <c r="D17" s="31"/>
      <c r="E17" s="31"/>
      <c r="F17" s="33"/>
      <c r="G17" s="23"/>
      <c r="H17" s="23"/>
      <c r="I17" s="23"/>
      <c r="J17" s="23"/>
      <c r="K17" s="31"/>
      <c r="L17" s="31"/>
      <c r="M17" s="31"/>
      <c r="N17" s="31"/>
      <c r="S17" s="207"/>
      <c r="T17" s="207"/>
      <c r="U17" s="207"/>
      <c r="V17" s="207"/>
      <c r="W17" s="207"/>
      <c r="X17" s="207"/>
      <c r="Y17" s="207"/>
      <c r="Z17" s="207"/>
      <c r="AA17" s="207"/>
      <c r="AB17" s="207"/>
      <c r="AC17" s="207"/>
      <c r="AD17" s="207"/>
    </row>
    <row r="18" spans="1:30" x14ac:dyDescent="0.25">
      <c r="A18" s="31" t="s">
        <v>15</v>
      </c>
      <c r="B18" s="31"/>
      <c r="C18" s="82" t="s">
        <v>15</v>
      </c>
      <c r="D18" s="455" t="s">
        <v>15</v>
      </c>
      <c r="E18" s="455"/>
      <c r="F18" s="455"/>
      <c r="G18" s="455"/>
      <c r="H18" s="455"/>
      <c r="K18" s="31"/>
      <c r="L18" s="31"/>
      <c r="M18" s="31"/>
      <c r="N18" s="31"/>
      <c r="O18" s="50"/>
    </row>
    <row r="19" spans="1:30" ht="13" x14ac:dyDescent="0.3">
      <c r="A19" s="31" t="s">
        <v>15</v>
      </c>
      <c r="B19" s="31"/>
      <c r="C19" s="82" t="s">
        <v>15</v>
      </c>
      <c r="D19" s="455" t="s">
        <v>15</v>
      </c>
      <c r="E19" s="455"/>
      <c r="F19" s="455"/>
      <c r="G19" s="455"/>
      <c r="H19" s="455"/>
      <c r="I19" s="23"/>
      <c r="J19" s="23"/>
      <c r="K19" s="31"/>
      <c r="L19" s="31"/>
      <c r="M19" s="31"/>
      <c r="N19" s="31"/>
      <c r="O19" s="50"/>
    </row>
    <row r="20" spans="1:30" ht="13" x14ac:dyDescent="0.3">
      <c r="A20" s="31"/>
      <c r="B20" s="31"/>
      <c r="C20" s="33"/>
      <c r="D20" s="33"/>
      <c r="E20" s="33"/>
      <c r="F20" s="33"/>
      <c r="G20" s="23"/>
      <c r="H20" s="23"/>
      <c r="I20" s="23"/>
      <c r="J20" s="23"/>
      <c r="K20" s="31"/>
      <c r="L20" s="31"/>
      <c r="M20" s="31"/>
      <c r="N20" s="31"/>
      <c r="O20" s="31"/>
    </row>
    <row r="21" spans="1:30" ht="13" x14ac:dyDescent="0.3">
      <c r="A21" s="28" t="s">
        <v>31</v>
      </c>
      <c r="B21" s="22"/>
      <c r="C21" s="22"/>
      <c r="D21" s="22"/>
      <c r="E21" s="22"/>
      <c r="F21" s="22"/>
      <c r="G21" s="447" t="s">
        <v>67</v>
      </c>
      <c r="H21" s="448"/>
      <c r="I21" s="448"/>
      <c r="J21" s="449"/>
      <c r="K21" s="22"/>
      <c r="L21" s="450" t="s">
        <v>68</v>
      </c>
      <c r="M21" s="450"/>
      <c r="N21" s="450"/>
      <c r="O21" s="450"/>
    </row>
    <row r="22" spans="1:30" ht="13" x14ac:dyDescent="0.3">
      <c r="A22" s="18"/>
      <c r="B22" s="18"/>
      <c r="C22" s="18"/>
      <c r="D22" s="18"/>
      <c r="E22" s="18"/>
      <c r="F22" s="18"/>
      <c r="G22" s="8" t="s">
        <v>64</v>
      </c>
      <c r="H22" s="8" t="s">
        <v>65</v>
      </c>
      <c r="I22" s="8" t="s">
        <v>66</v>
      </c>
      <c r="J22" s="112" t="s">
        <v>34</v>
      </c>
      <c r="K22" s="18"/>
      <c r="L22" s="270" t="s">
        <v>64</v>
      </c>
      <c r="M22" s="270" t="s">
        <v>65</v>
      </c>
      <c r="N22" s="270" t="s">
        <v>66</v>
      </c>
      <c r="O22" s="132" t="s">
        <v>34</v>
      </c>
      <c r="P22" s="43" t="s">
        <v>56</v>
      </c>
    </row>
    <row r="23" spans="1:30" x14ac:dyDescent="0.25">
      <c r="A23" t="s">
        <v>32</v>
      </c>
      <c r="G23" s="86"/>
      <c r="H23" s="86"/>
      <c r="I23" s="86">
        <v>138.5</v>
      </c>
      <c r="J23" s="86">
        <f>SUM(G23:I23)</f>
        <v>138.5</v>
      </c>
      <c r="L23" s="88"/>
      <c r="M23" s="88"/>
      <c r="N23" s="88">
        <f>I23</f>
        <v>138.5</v>
      </c>
      <c r="O23" s="209">
        <f>SUM(L23:N23)</f>
        <v>138.5</v>
      </c>
      <c r="P23" s="245">
        <v>44531</v>
      </c>
    </row>
    <row r="24" spans="1:30" x14ac:dyDescent="0.25">
      <c r="A24" t="s">
        <v>132</v>
      </c>
      <c r="D24" s="1">
        <f>D16</f>
        <v>0</v>
      </c>
      <c r="E24" s="101" t="s">
        <v>41</v>
      </c>
      <c r="F24" s="102" t="s">
        <v>8</v>
      </c>
      <c r="G24" s="84"/>
      <c r="H24" s="86"/>
      <c r="I24" s="84">
        <v>1.37173E-2</v>
      </c>
      <c r="J24" s="84">
        <f>I24</f>
        <v>1.37173E-2</v>
      </c>
      <c r="K24" s="104" t="s">
        <v>42</v>
      </c>
      <c r="L24" s="87"/>
      <c r="M24" s="88"/>
      <c r="N24" s="87">
        <f>D24*J24</f>
        <v>0</v>
      </c>
      <c r="O24" s="209">
        <f>SUM(L24:N24)</f>
        <v>0</v>
      </c>
      <c r="P24" s="245"/>
    </row>
    <row r="25" spans="1:30" ht="13" x14ac:dyDescent="0.3">
      <c r="A25" s="37" t="s">
        <v>50</v>
      </c>
      <c r="B25" s="37"/>
      <c r="C25" s="37"/>
      <c r="D25" s="38"/>
      <c r="E25" s="38"/>
      <c r="F25" s="37"/>
      <c r="G25" s="37"/>
      <c r="H25" s="37"/>
      <c r="I25" s="37"/>
      <c r="J25" s="37"/>
      <c r="K25" s="39"/>
      <c r="L25" s="40"/>
      <c r="M25" s="40"/>
      <c r="N25" s="40">
        <f>SUM(N23:N24)</f>
        <v>138.5</v>
      </c>
      <c r="O25" s="40">
        <f>SUM(O23:O24)</f>
        <v>138.5</v>
      </c>
    </row>
    <row r="26" spans="1:30" ht="13" x14ac:dyDescent="0.3">
      <c r="A26" s="89"/>
      <c r="B26" s="89"/>
      <c r="C26" s="90"/>
      <c r="D26" s="90"/>
      <c r="E26" s="90"/>
      <c r="F26" s="90"/>
      <c r="G26" s="91"/>
      <c r="H26" s="91"/>
      <c r="I26" s="91"/>
      <c r="J26" s="91"/>
      <c r="K26" s="89"/>
      <c r="L26" s="89"/>
      <c r="M26" s="89"/>
      <c r="N26" s="89"/>
      <c r="O26" s="89"/>
      <c r="P26" s="89"/>
    </row>
    <row r="27" spans="1:30" ht="13" x14ac:dyDescent="0.3">
      <c r="A27" s="41" t="s">
        <v>69</v>
      </c>
      <c r="D27" s="1"/>
      <c r="E27" s="1"/>
      <c r="K27" s="36"/>
      <c r="L27" s="36"/>
      <c r="M27" s="36"/>
      <c r="N27" s="36"/>
      <c r="O27" s="34"/>
      <c r="P27" s="34"/>
    </row>
    <row r="28" spans="1:30" ht="13" x14ac:dyDescent="0.3">
      <c r="A28" s="37"/>
      <c r="D28" s="1"/>
      <c r="E28" s="1"/>
      <c r="K28" s="36"/>
      <c r="L28" s="36"/>
      <c r="M28" s="36"/>
      <c r="N28" s="36"/>
      <c r="O28" s="34"/>
    </row>
    <row r="29" spans="1:30" x14ac:dyDescent="0.25">
      <c r="A29" s="78" t="s">
        <v>78</v>
      </c>
      <c r="D29" s="1">
        <f>IF($C$16&lt;0,0,IF($C$16&gt;833000,833000,$C$16))</f>
        <v>0</v>
      </c>
      <c r="E29" s="35" t="s">
        <v>41</v>
      </c>
      <c r="F29" s="4" t="s">
        <v>8</v>
      </c>
      <c r="G29" s="83"/>
      <c r="H29" s="84"/>
      <c r="I29" s="103">
        <f>'Rider Rates'!$B$4</f>
        <v>5.9216E-3</v>
      </c>
      <c r="J29" s="6">
        <f>SUM(G29:I29)</f>
        <v>5.9216E-3</v>
      </c>
      <c r="K29" s="36" t="s">
        <v>42</v>
      </c>
      <c r="L29" s="87"/>
      <c r="M29" s="87"/>
      <c r="N29" s="87">
        <f>ROUND($D29*I29,2)</f>
        <v>0</v>
      </c>
      <c r="O29" s="87">
        <f>SUM(L29:N29)</f>
        <v>0</v>
      </c>
      <c r="P29" s="245">
        <f>'Rider Rates'!$D$4</f>
        <v>45293</v>
      </c>
    </row>
    <row r="30" spans="1:30" x14ac:dyDescent="0.25">
      <c r="A30" s="78" t="s">
        <v>79</v>
      </c>
      <c r="D30" s="1">
        <f>IF($C$16-833000&gt;0,$C$16-D29,0)</f>
        <v>0</v>
      </c>
      <c r="E30" s="35" t="s">
        <v>41</v>
      </c>
      <c r="F30" s="4" t="s">
        <v>8</v>
      </c>
      <c r="G30" s="83"/>
      <c r="H30" s="84"/>
      <c r="I30" s="103">
        <f>'Rider Rates'!$B$5</f>
        <v>1.7560000000000001E-4</v>
      </c>
      <c r="J30" s="118">
        <f>SUM(G30:I30)</f>
        <v>1.7560000000000001E-4</v>
      </c>
      <c r="K30" s="36" t="s">
        <v>42</v>
      </c>
      <c r="L30" s="87"/>
      <c r="M30" s="87"/>
      <c r="N30" s="87">
        <f>ROUND($D30*I30,2)</f>
        <v>0</v>
      </c>
      <c r="O30" s="87">
        <f>SUM(L30:N30)</f>
        <v>0</v>
      </c>
      <c r="P30" s="245">
        <f>'Rider Rates'!$D$4</f>
        <v>45293</v>
      </c>
    </row>
    <row r="31" spans="1:30" x14ac:dyDescent="0.25">
      <c r="A31" s="78" t="s">
        <v>47</v>
      </c>
      <c r="B31" t="s">
        <v>15</v>
      </c>
      <c r="D31" s="1">
        <f>IF('Customer Info'!$C$32=TRUE,0,IF(C16&lt;0,0,IF(C16&gt;2000,2000,C16)))</f>
        <v>0</v>
      </c>
      <c r="E31" s="35" t="s">
        <v>41</v>
      </c>
      <c r="F31" s="4" t="s">
        <v>8</v>
      </c>
      <c r="G31" s="83"/>
      <c r="H31" s="84"/>
      <c r="I31" s="177">
        <f>'Rider Rates'!$B$8</f>
        <v>4.6499999999999996E-3</v>
      </c>
      <c r="J31" s="117">
        <f>SUM(G31:I31)</f>
        <v>4.6499999999999996E-3</v>
      </c>
      <c r="K31" s="36" t="s">
        <v>42</v>
      </c>
      <c r="L31" s="87"/>
      <c r="M31" s="87"/>
      <c r="N31" s="87">
        <f>ROUND($D31*I31,2)</f>
        <v>0</v>
      </c>
      <c r="O31" s="87">
        <f>SUM(L31:N31)</f>
        <v>0</v>
      </c>
      <c r="P31" s="245">
        <f>'Rider Rates'!$D$7</f>
        <v>44531</v>
      </c>
    </row>
    <row r="32" spans="1:30" x14ac:dyDescent="0.25">
      <c r="A32" s="78" t="s">
        <v>48</v>
      </c>
      <c r="B32" t="s">
        <v>15</v>
      </c>
      <c r="D32" s="1">
        <f>IF('Customer Info'!$C$32=TRUE,0,IF(C16&gt;15000,13000,IF(C16&gt;2000,C16-2000,0)))</f>
        <v>0</v>
      </c>
      <c r="E32" s="35" t="s">
        <v>41</v>
      </c>
      <c r="F32" s="4" t="s">
        <v>8</v>
      </c>
      <c r="G32" s="83"/>
      <c r="H32" s="84"/>
      <c r="I32" s="177">
        <f>'Rider Rates'!$B$9</f>
        <v>4.1900000000000001E-3</v>
      </c>
      <c r="J32" s="117">
        <f>SUM(G32:I32)</f>
        <v>4.1900000000000001E-3</v>
      </c>
      <c r="K32" s="36" t="s">
        <v>42</v>
      </c>
      <c r="L32" s="87"/>
      <c r="M32" s="87"/>
      <c r="N32" s="87">
        <f>ROUND($D32*I32,2)</f>
        <v>0</v>
      </c>
      <c r="O32" s="87">
        <f>SUM(L32:N32)</f>
        <v>0</v>
      </c>
      <c r="P32" s="245">
        <f>'Rider Rates'!$D$7</f>
        <v>44531</v>
      </c>
    </row>
    <row r="33" spans="1:221" x14ac:dyDescent="0.25">
      <c r="A33" s="78" t="s">
        <v>49</v>
      </c>
      <c r="B33" t="s">
        <v>15</v>
      </c>
      <c r="D33" s="1">
        <f>IF('Customer Info'!$C$32=TRUE,0,IF(C16-D31-D32&gt;0,C16-D31-D32,0))</f>
        <v>0</v>
      </c>
      <c r="E33" s="35" t="s">
        <v>41</v>
      </c>
      <c r="F33" s="4" t="s">
        <v>8</v>
      </c>
      <c r="G33" s="83"/>
      <c r="H33" s="84"/>
      <c r="I33" s="177">
        <f>'Rider Rates'!$B$10</f>
        <v>3.63E-3</v>
      </c>
      <c r="J33" s="117">
        <f>SUM(G33:I33)</f>
        <v>3.63E-3</v>
      </c>
      <c r="K33" s="36" t="s">
        <v>42</v>
      </c>
      <c r="L33" s="87"/>
      <c r="M33" s="87"/>
      <c r="N33" s="87">
        <f>ROUND($D33*I33,2)</f>
        <v>0</v>
      </c>
      <c r="O33" s="87">
        <f>SUM(L33:N33)</f>
        <v>0</v>
      </c>
      <c r="P33" s="245">
        <f>'Rider Rates'!$D$7</f>
        <v>44531</v>
      </c>
    </row>
    <row r="34" spans="1:221" ht="13" x14ac:dyDescent="0.3">
      <c r="A34" s="241" t="s">
        <v>247</v>
      </c>
      <c r="B34" s="78"/>
      <c r="C34" s="78"/>
      <c r="D34" s="208">
        <f>$N$25</f>
        <v>138.5</v>
      </c>
      <c r="E34" s="101" t="s">
        <v>121</v>
      </c>
      <c r="F34" s="102" t="s">
        <v>8</v>
      </c>
      <c r="G34" s="103"/>
      <c r="H34" s="103"/>
      <c r="I34" s="178">
        <f>'Rider Rates'!$B$18+'Rider Rates'!$E$18</f>
        <v>0</v>
      </c>
      <c r="J34" s="120">
        <f>SUM(H34:I34)</f>
        <v>0</v>
      </c>
      <c r="K34" s="104"/>
      <c r="L34" s="105"/>
      <c r="M34" s="105"/>
      <c r="N34" s="105">
        <f>ROUND($D$34*'Rider Rates'!$B$18,2)+ROUND($D$34*'Rider Rates'!$E$18,2)</f>
        <v>0</v>
      </c>
      <c r="O34" s="105">
        <f t="shared" ref="O34:O46" si="0">SUM(L34:N34)</f>
        <v>0</v>
      </c>
      <c r="P34" s="245">
        <f>MAX('Rider Rates'!$D$18,'Rider Rates'!$F$18)</f>
        <v>44531</v>
      </c>
    </row>
    <row r="35" spans="1:221" x14ac:dyDescent="0.25">
      <c r="A35" s="210" t="s">
        <v>195</v>
      </c>
      <c r="B35" s="78"/>
      <c r="C35" s="78"/>
      <c r="D35" s="100">
        <f>'Customer Info'!$B$21+'Customer Info'!$B$22-'Customer Info'!$B$23</f>
        <v>0</v>
      </c>
      <c r="E35" s="101" t="s">
        <v>41</v>
      </c>
      <c r="F35" s="102" t="s">
        <v>8</v>
      </c>
      <c r="G35" s="103">
        <f>'Rider Rates'!B24</f>
        <v>0.10234</v>
      </c>
      <c r="H35" s="103"/>
      <c r="I35" s="103"/>
      <c r="J35" s="237">
        <f>SUM(G35:H35)</f>
        <v>0.10234</v>
      </c>
      <c r="K35" s="104" t="s">
        <v>42</v>
      </c>
      <c r="L35" s="105">
        <f>ROUND(D35*G35,2)</f>
        <v>0</v>
      </c>
      <c r="M35" s="105"/>
      <c r="N35" s="105"/>
      <c r="O35" s="105">
        <f t="shared" si="0"/>
        <v>0</v>
      </c>
      <c r="P35" s="245">
        <f>'Rider Rates'!$D$23</f>
        <v>45078</v>
      </c>
    </row>
    <row r="36" spans="1:221" x14ac:dyDescent="0.25">
      <c r="A36" s="241" t="s">
        <v>162</v>
      </c>
      <c r="B36" s="78"/>
      <c r="C36" s="78"/>
      <c r="D36" s="100">
        <f>'Customer Info'!$B$21+'Customer Info'!$B$22-'Customer Info'!$B$23</f>
        <v>0</v>
      </c>
      <c r="E36" s="101" t="s">
        <v>41</v>
      </c>
      <c r="F36" s="102" t="s">
        <v>8</v>
      </c>
      <c r="G36" s="103">
        <f>'Rider Rates'!$B$42</f>
        <v>2.31E-3</v>
      </c>
      <c r="H36" s="103"/>
      <c r="I36" s="103"/>
      <c r="J36" s="237">
        <f>SUM(G36:H36)</f>
        <v>2.31E-3</v>
      </c>
      <c r="K36" s="104" t="s">
        <v>42</v>
      </c>
      <c r="L36" s="105">
        <f>ROUND(D36*G36,2)</f>
        <v>0</v>
      </c>
      <c r="M36" s="105"/>
      <c r="N36" s="105"/>
      <c r="O36" s="105">
        <f t="shared" si="0"/>
        <v>0</v>
      </c>
      <c r="P36" s="245">
        <f>'Rider Rates'!$D$42</f>
        <v>45078</v>
      </c>
    </row>
    <row r="37" spans="1:221" x14ac:dyDescent="0.25">
      <c r="A37" s="210" t="s">
        <v>202</v>
      </c>
      <c r="B37" s="78"/>
      <c r="C37" s="78"/>
      <c r="D37" s="100">
        <f>'Customer Info'!$B$21+'Customer Info'!$B$22-'Customer Info'!$B$23</f>
        <v>0</v>
      </c>
      <c r="E37" s="101" t="s">
        <v>41</v>
      </c>
      <c r="F37" s="102" t="s">
        <v>8</v>
      </c>
      <c r="G37" s="103">
        <f>'Rider Rates'!$B$46</f>
        <v>-4.8640000000000001E-4</v>
      </c>
      <c r="H37" s="103"/>
      <c r="I37" s="103"/>
      <c r="J37" s="237">
        <f>SUM(G37:H37)</f>
        <v>-4.8640000000000001E-4</v>
      </c>
      <c r="K37" s="104" t="s">
        <v>42</v>
      </c>
      <c r="L37" s="105">
        <f>ROUND(D37*G37,2)</f>
        <v>0</v>
      </c>
      <c r="M37" s="105"/>
      <c r="N37" s="105"/>
      <c r="O37" s="105">
        <f t="shared" si="0"/>
        <v>0</v>
      </c>
      <c r="P37" s="245">
        <f>'Rider Rates'!$D$46</f>
        <v>45383</v>
      </c>
    </row>
    <row r="38" spans="1:221" x14ac:dyDescent="0.25">
      <c r="A38" s="241" t="s">
        <v>220</v>
      </c>
      <c r="B38" s="78"/>
      <c r="C38" s="78"/>
      <c r="D38" s="1">
        <f>IF($C$16&lt;0,0,IF($C$16&gt;833000,833000,$C$16))</f>
        <v>0</v>
      </c>
      <c r="E38" s="101" t="s">
        <v>41</v>
      </c>
      <c r="F38" s="102" t="s">
        <v>8</v>
      </c>
      <c r="G38" s="103"/>
      <c r="H38" s="103"/>
      <c r="I38" s="103">
        <f>'Rider Rates'!D50</f>
        <v>1.7826999999999999E-3</v>
      </c>
      <c r="J38" s="103">
        <f>SUM(G38:I38)</f>
        <v>1.7826999999999999E-3</v>
      </c>
      <c r="K38" s="104" t="s">
        <v>42</v>
      </c>
      <c r="L38" s="105"/>
      <c r="M38" s="105"/>
      <c r="N38" s="87">
        <f>D38*J38</f>
        <v>0</v>
      </c>
      <c r="O38" s="105">
        <f t="shared" si="0"/>
        <v>0</v>
      </c>
      <c r="P38" s="245">
        <f>'Rider Rates'!E50</f>
        <v>45292</v>
      </c>
    </row>
    <row r="39" spans="1:221" x14ac:dyDescent="0.25">
      <c r="A39" s="210" t="s">
        <v>198</v>
      </c>
      <c r="B39" s="78"/>
      <c r="C39" s="78"/>
      <c r="D39" s="1">
        <f>IF($C$16&lt;0,0,$C$16)</f>
        <v>0</v>
      </c>
      <c r="E39" s="113" t="s">
        <v>41</v>
      </c>
      <c r="F39" s="102" t="s">
        <v>8</v>
      </c>
      <c r="G39" s="103"/>
      <c r="H39" s="103">
        <f>'Rider Rates'!G57</f>
        <v>3.2698999999999999E-2</v>
      </c>
      <c r="I39" s="103"/>
      <c r="J39" s="103">
        <f>SUM(G39:I39)</f>
        <v>3.2698999999999999E-2</v>
      </c>
      <c r="K39" s="104" t="s">
        <v>42</v>
      </c>
      <c r="L39" s="105"/>
      <c r="M39" s="105">
        <f>ROUND(D39*H39,2)</f>
        <v>0</v>
      </c>
      <c r="N39" s="205"/>
      <c r="O39" s="105">
        <f t="shared" si="0"/>
        <v>0</v>
      </c>
      <c r="P39" s="245">
        <f>'Rider Rates'!H57</f>
        <v>45383</v>
      </c>
    </row>
    <row r="40" spans="1:221" x14ac:dyDescent="0.25">
      <c r="A40" s="99" t="s">
        <v>82</v>
      </c>
      <c r="B40" s="78"/>
      <c r="C40" s="78"/>
      <c r="D40" s="1">
        <f>IF('Customer Info'!C34=TRUE,0,IF($C$16&lt;0,0,$C$16))</f>
        <v>0</v>
      </c>
      <c r="E40" s="101" t="s">
        <v>41</v>
      </c>
      <c r="F40" s="102" t="s">
        <v>8</v>
      </c>
      <c r="G40" s="103"/>
      <c r="H40" s="103"/>
      <c r="I40" s="103">
        <f>'Rider Rates'!$B$70+'Rider Rates'!$C$70</f>
        <v>0</v>
      </c>
      <c r="J40" s="103">
        <f>SUM(G40:I40)</f>
        <v>0</v>
      </c>
      <c r="K40" s="104" t="s">
        <v>42</v>
      </c>
      <c r="L40" s="105"/>
      <c r="M40" s="105"/>
      <c r="N40" s="87">
        <f>ROUND($D$40*'Rider Rates'!$B$70,2)+ROUND($D$40*'Rider Rates'!$C$70,2)</f>
        <v>0</v>
      </c>
      <c r="O40" s="209">
        <f t="shared" si="0"/>
        <v>0</v>
      </c>
      <c r="P40" s="245">
        <f>'Rider Rates'!$D$70</f>
        <v>44531</v>
      </c>
      <c r="Q40" s="107"/>
      <c r="R40" s="108"/>
      <c r="S40" s="109"/>
      <c r="T40" s="78"/>
      <c r="U40" s="110"/>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row>
    <row r="41" spans="1:221" ht="13" x14ac:dyDescent="0.3">
      <c r="A41" s="99" t="s">
        <v>80</v>
      </c>
      <c r="B41" s="78"/>
      <c r="C41" s="78"/>
      <c r="D41" s="208">
        <f>$N$25</f>
        <v>138.5</v>
      </c>
      <c r="E41" s="101" t="s">
        <v>121</v>
      </c>
      <c r="F41" s="102" t="s">
        <v>8</v>
      </c>
      <c r="G41" s="111"/>
      <c r="H41" s="112"/>
      <c r="I41" s="120">
        <f>'Rider Rates'!$B$84</f>
        <v>2.9347000000000002E-2</v>
      </c>
      <c r="J41" s="120">
        <f>SUM(H41:I41)</f>
        <v>2.9347000000000002E-2</v>
      </c>
      <c r="K41" s="104"/>
      <c r="L41" s="105"/>
      <c r="M41" s="105"/>
      <c r="N41" s="105">
        <f>ROUND(N$25*I41,2)</f>
        <v>4.0599999999999996</v>
      </c>
      <c r="O41" s="209">
        <f t="shared" si="0"/>
        <v>4.0599999999999996</v>
      </c>
      <c r="P41" s="245">
        <f>'Rider Rates'!$D$84</f>
        <v>45383</v>
      </c>
      <c r="Q41" s="107"/>
      <c r="R41" s="108"/>
      <c r="S41" s="109"/>
      <c r="T41" s="78"/>
      <c r="U41" s="110"/>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row>
    <row r="42" spans="1:221" ht="13" x14ac:dyDescent="0.3">
      <c r="A42" s="99" t="s">
        <v>81</v>
      </c>
      <c r="B42" s="78"/>
      <c r="C42" s="78"/>
      <c r="D42" s="208">
        <f>$N$25</f>
        <v>138.5</v>
      </c>
      <c r="E42" s="101" t="s">
        <v>121</v>
      </c>
      <c r="F42" s="102" t="s">
        <v>8</v>
      </c>
      <c r="G42" s="114"/>
      <c r="H42" s="115"/>
      <c r="I42" s="120">
        <f>'Rider Rates'!$B$86</f>
        <v>6.6985699999999995E-2</v>
      </c>
      <c r="J42" s="120">
        <f>SUM(H42:I42)</f>
        <v>6.6985699999999995E-2</v>
      </c>
      <c r="K42" s="104"/>
      <c r="L42" s="105"/>
      <c r="M42" s="105"/>
      <c r="N42" s="105">
        <f>ROUND(N$25*I42,2)</f>
        <v>9.2799999999999994</v>
      </c>
      <c r="O42" s="209">
        <f t="shared" si="0"/>
        <v>9.2799999999999994</v>
      </c>
      <c r="P42" s="245">
        <f>'Rider Rates'!$D$86</f>
        <v>45167</v>
      </c>
      <c r="Q42" s="107"/>
      <c r="R42" s="108"/>
      <c r="S42" s="109"/>
      <c r="T42" s="78"/>
      <c r="U42" s="110"/>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row>
    <row r="43" spans="1:221" ht="13" x14ac:dyDescent="0.3">
      <c r="A43" s="210" t="s">
        <v>216</v>
      </c>
      <c r="B43" s="78"/>
      <c r="C43" s="78"/>
      <c r="D43" s="195"/>
      <c r="E43" s="113" t="s">
        <v>114</v>
      </c>
      <c r="F43" s="106"/>
      <c r="G43" s="114"/>
      <c r="H43" s="115"/>
      <c r="I43" s="196">
        <f>'Rider Rates'!$B$90</f>
        <v>15.91</v>
      </c>
      <c r="J43" s="196">
        <f>SUM(G43:I43)</f>
        <v>15.91</v>
      </c>
      <c r="K43" s="104"/>
      <c r="L43" s="105"/>
      <c r="M43" s="105"/>
      <c r="N43" s="105">
        <f>I43</f>
        <v>15.91</v>
      </c>
      <c r="O43" s="105">
        <f>SUM(L43:N43)</f>
        <v>15.91</v>
      </c>
      <c r="P43" s="245">
        <f>'Rider Rates'!$D$90</f>
        <v>45351</v>
      </c>
    </row>
    <row r="44" spans="1:221" x14ac:dyDescent="0.25">
      <c r="A44" s="241" t="s">
        <v>263</v>
      </c>
      <c r="B44" s="78"/>
      <c r="C44" s="78"/>
      <c r="D44" s="1">
        <f>$D$29</f>
        <v>0</v>
      </c>
      <c r="E44" s="101" t="s">
        <v>41</v>
      </c>
      <c r="F44" s="102" t="s">
        <v>8</v>
      </c>
      <c r="G44" s="103"/>
      <c r="H44" s="103"/>
      <c r="I44" s="103"/>
      <c r="J44" s="103">
        <f>'Rider Rates'!$B$95</f>
        <v>0</v>
      </c>
      <c r="K44" s="104" t="s">
        <v>42</v>
      </c>
      <c r="L44" s="105"/>
      <c r="M44" s="105"/>
      <c r="N44" s="87"/>
      <c r="O44" s="105">
        <f>ROUND($D44*('Rider Rates'!B$95),2)</f>
        <v>0</v>
      </c>
      <c r="P44" s="245">
        <f>'Rider Rates'!$D$95</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241" t="s">
        <v>264</v>
      </c>
      <c r="B45" s="78"/>
      <c r="C45" s="78"/>
      <c r="D45" s="1">
        <f>$D$30</f>
        <v>0</v>
      </c>
      <c r="E45" s="101" t="s">
        <v>41</v>
      </c>
      <c r="F45" s="102" t="s">
        <v>8</v>
      </c>
      <c r="G45" s="103"/>
      <c r="H45" s="103"/>
      <c r="I45" s="103"/>
      <c r="J45" s="103">
        <f>'Rider Rates'!$B$96</f>
        <v>0</v>
      </c>
      <c r="K45" s="104" t="s">
        <v>42</v>
      </c>
      <c r="L45" s="105"/>
      <c r="M45" s="105"/>
      <c r="N45" s="87"/>
      <c r="O45" s="105">
        <f>ROUND($D45*('Rider Rates'!B$96),2)</f>
        <v>0</v>
      </c>
      <c r="P45" s="245">
        <f>'Rider Rates'!$D$96</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99" t="s">
        <v>157</v>
      </c>
      <c r="B46" s="78"/>
      <c r="C46" s="78"/>
      <c r="D46" s="208">
        <f>$N$25</f>
        <v>138.5</v>
      </c>
      <c r="E46" s="101" t="s">
        <v>121</v>
      </c>
      <c r="F46" s="102" t="s">
        <v>8</v>
      </c>
      <c r="G46" s="114"/>
      <c r="H46" s="115"/>
      <c r="I46" s="120">
        <f>'Rider Rates'!$B$104</f>
        <v>0.21398439999999999</v>
      </c>
      <c r="J46" s="120">
        <f>SUM(H46:I46)</f>
        <v>0.21398439999999999</v>
      </c>
      <c r="K46" s="104"/>
      <c r="L46" s="105"/>
      <c r="M46" s="105"/>
      <c r="N46" s="105">
        <f>ROUND(N$25*I46,2)</f>
        <v>29.64</v>
      </c>
      <c r="O46" s="105">
        <f t="shared" si="0"/>
        <v>29.64</v>
      </c>
      <c r="P46" s="245">
        <f>'Rider Rates'!$D$104</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219</v>
      </c>
      <c r="B47" s="78"/>
      <c r="C47" s="78"/>
      <c r="D47" s="195"/>
      <c r="E47" s="113" t="s">
        <v>114</v>
      </c>
      <c r="F47" s="106"/>
      <c r="G47" s="114"/>
      <c r="H47" s="115"/>
      <c r="I47" s="196">
        <f>'Rider Rates'!$B$108</f>
        <v>0</v>
      </c>
      <c r="J47" s="196">
        <f>SUM(G47:I47)</f>
        <v>0</v>
      </c>
      <c r="K47" s="104"/>
      <c r="L47" s="105"/>
      <c r="M47" s="105"/>
      <c r="N47" s="105">
        <f>I47</f>
        <v>0</v>
      </c>
      <c r="O47" s="105">
        <f t="shared" ref="O47:O52" si="1">SUM(L47:N47)</f>
        <v>0</v>
      </c>
      <c r="P47" s="245">
        <f>'Rider Rates'!$D$108</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ht="13" x14ac:dyDescent="0.3">
      <c r="A48" s="210" t="s">
        <v>227</v>
      </c>
      <c r="B48" s="78"/>
      <c r="C48" s="78"/>
      <c r="D48" s="195"/>
      <c r="E48" s="113" t="s">
        <v>114</v>
      </c>
      <c r="F48" s="106"/>
      <c r="G48" s="114"/>
      <c r="H48" s="115"/>
      <c r="I48" s="260">
        <f>'Rider Rates'!B121</f>
        <v>5.83</v>
      </c>
      <c r="J48" s="196">
        <f>SUM(G48:I48)</f>
        <v>5.83</v>
      </c>
      <c r="K48" s="104"/>
      <c r="L48" s="105"/>
      <c r="M48" s="105"/>
      <c r="N48" s="262">
        <f>I48</f>
        <v>5.83</v>
      </c>
      <c r="O48" s="105">
        <f t="shared" si="1"/>
        <v>5.83</v>
      </c>
      <c r="P48" s="245">
        <f>'Rider Rates'!D121</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5">
      <c r="A49" s="99" t="s">
        <v>158</v>
      </c>
      <c r="B49" s="78"/>
      <c r="C49" s="78"/>
      <c r="D49" s="100">
        <f>'Customer Info'!$B$21+'Customer Info'!$B$22-'Customer Info'!$B$23</f>
        <v>0</v>
      </c>
      <c r="E49" s="101" t="s">
        <v>41</v>
      </c>
      <c r="F49" s="102" t="s">
        <v>8</v>
      </c>
      <c r="G49" s="103">
        <f>'Rider Rates'!$B$112</f>
        <v>3.7618E-3</v>
      </c>
      <c r="H49" s="103"/>
      <c r="I49" s="120"/>
      <c r="J49" s="237">
        <f>SUM(G49:H49)</f>
        <v>3.7618E-3</v>
      </c>
      <c r="K49" s="104" t="s">
        <v>42</v>
      </c>
      <c r="L49" s="105">
        <f>ROUND(D49*G49,2)</f>
        <v>0</v>
      </c>
      <c r="M49" s="105"/>
      <c r="N49" s="105"/>
      <c r="O49" s="105">
        <f t="shared" si="1"/>
        <v>0</v>
      </c>
      <c r="P49" s="245">
        <f>'Rider Rates'!$D$112</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5">
      <c r="A50" s="210" t="s">
        <v>218</v>
      </c>
      <c r="B50" s="78"/>
      <c r="C50" s="78"/>
      <c r="D50" s="1">
        <f>IF($C$16&lt;1,0,$C$16)</f>
        <v>0</v>
      </c>
      <c r="E50" s="101" t="s">
        <v>41</v>
      </c>
      <c r="F50" s="249" t="s">
        <v>8</v>
      </c>
      <c r="G50" s="165"/>
      <c r="H50" s="165"/>
      <c r="I50" s="251">
        <f>'Rider Rates'!B117</f>
        <v>-6.2E-4</v>
      </c>
      <c r="J50" s="251">
        <f>SUM(G50:I50)</f>
        <v>-6.2E-4</v>
      </c>
      <c r="K50" s="104" t="s">
        <v>42</v>
      </c>
      <c r="L50" s="105"/>
      <c r="M50" s="105"/>
      <c r="N50" s="105">
        <f>D50*I50</f>
        <v>0</v>
      </c>
      <c r="O50" s="105">
        <f t="shared" si="1"/>
        <v>0</v>
      </c>
      <c r="P50" s="245">
        <f>'Rider Rates'!D117</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78" t="s">
        <v>243</v>
      </c>
      <c r="B51" s="78"/>
      <c r="C51" s="78"/>
      <c r="D51" s="100">
        <f>IF(C16&lt;0,0,IF(C16&gt;833000,833000,C16))</f>
        <v>0</v>
      </c>
      <c r="E51" s="101" t="s">
        <v>41</v>
      </c>
      <c r="F51" s="102" t="s">
        <v>8</v>
      </c>
      <c r="G51" s="267"/>
      <c r="H51" s="267"/>
      <c r="I51" s="267">
        <f>'Rider Rates'!$B$125</f>
        <v>2.9050000000000001E-4</v>
      </c>
      <c r="J51" s="267">
        <f>SUM(G51:I51)</f>
        <v>2.9050000000000001E-4</v>
      </c>
      <c r="K51" s="104" t="s">
        <v>42</v>
      </c>
      <c r="L51" s="268"/>
      <c r="M51" s="268"/>
      <c r="N51" s="268">
        <f>IF(D51*J51&gt;'Rider Rates'!$C$125,'Rider Rates'!$C$125,D51*J51)</f>
        <v>0</v>
      </c>
      <c r="O51" s="268">
        <f t="shared" si="1"/>
        <v>0</v>
      </c>
      <c r="P51" s="266">
        <f>'Rider Rates'!$E$125</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78" t="s">
        <v>244</v>
      </c>
      <c r="B52" s="78"/>
      <c r="C52" s="78"/>
      <c r="D52" s="123">
        <f>IF(C16&gt;833000,C16-833000,0)</f>
        <v>0</v>
      </c>
      <c r="E52" s="101" t="s">
        <v>41</v>
      </c>
      <c r="F52" s="102" t="s">
        <v>8</v>
      </c>
      <c r="G52" s="267"/>
      <c r="H52" s="267"/>
      <c r="I52" s="267">
        <f>'Rider Rates'!$B$126</f>
        <v>0</v>
      </c>
      <c r="J52" s="267">
        <f>SUM(G52:I52)</f>
        <v>0</v>
      </c>
      <c r="K52" s="104" t="s">
        <v>42</v>
      </c>
      <c r="L52" s="268"/>
      <c r="M52" s="268"/>
      <c r="N52" s="268">
        <f>D52*J52</f>
        <v>0</v>
      </c>
      <c r="O52" s="268">
        <f t="shared" si="1"/>
        <v>0</v>
      </c>
      <c r="P52" s="266">
        <f>'Rider Rates'!$E$126</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241" t="s">
        <v>252</v>
      </c>
      <c r="B53" s="78"/>
      <c r="C53" s="78"/>
      <c r="D53" s="100">
        <f>D16</f>
        <v>0</v>
      </c>
      <c r="E53" s="101" t="s">
        <v>41</v>
      </c>
      <c r="F53" s="249" t="s">
        <v>8</v>
      </c>
      <c r="G53" s="103"/>
      <c r="H53" s="103"/>
      <c r="I53" s="103">
        <f>'Rider Rates'!$B$132</f>
        <v>0</v>
      </c>
      <c r="J53" s="237">
        <f>SUM(G53:I53)</f>
        <v>0</v>
      </c>
      <c r="K53" s="104" t="s">
        <v>42</v>
      </c>
      <c r="L53" s="105"/>
      <c r="M53" s="105"/>
      <c r="N53" s="105">
        <f>D53*J53</f>
        <v>0</v>
      </c>
      <c r="O53" s="105">
        <f>SUM(L53:N53)</f>
        <v>0</v>
      </c>
      <c r="P53" s="245">
        <f>'Rider Rates'!$D$130</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251</v>
      </c>
      <c r="B54" s="78"/>
      <c r="C54" s="78"/>
      <c r="D54" s="100"/>
      <c r="E54" s="101" t="s">
        <v>114</v>
      </c>
      <c r="F54" s="102" t="s">
        <v>8</v>
      </c>
      <c r="G54" s="265"/>
      <c r="H54" s="265"/>
      <c r="I54" s="265">
        <f>'Rider Rates'!$B$137</f>
        <v>0</v>
      </c>
      <c r="J54" s="265">
        <f>SUM(G54:I54)</f>
        <v>0</v>
      </c>
      <c r="K54" s="104"/>
      <c r="L54" s="209"/>
      <c r="M54" s="209"/>
      <c r="N54" s="209">
        <f>J54</f>
        <v>0</v>
      </c>
      <c r="O54" s="209">
        <f>SUM(L54:N54)</f>
        <v>0</v>
      </c>
      <c r="P54" s="266">
        <f>'Rider Rates'!$D$137</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253</v>
      </c>
      <c r="B55" s="78"/>
      <c r="C55" s="78"/>
      <c r="D55" s="100"/>
      <c r="E55" s="101"/>
      <c r="F55" s="102"/>
      <c r="G55" s="265"/>
      <c r="H55" s="265"/>
      <c r="I55" s="265"/>
      <c r="J55" s="265"/>
      <c r="K55" s="104"/>
      <c r="L55" s="209"/>
      <c r="M55" s="209"/>
      <c r="N55" s="209"/>
      <c r="O55" s="209"/>
      <c r="P55" s="266"/>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ht="13" x14ac:dyDescent="0.3">
      <c r="A56" s="179" t="s">
        <v>70</v>
      </c>
      <c r="B56" s="148"/>
      <c r="C56" s="148"/>
      <c r="D56" s="180"/>
      <c r="E56" s="181"/>
      <c r="F56" s="182"/>
      <c r="G56" s="182"/>
      <c r="H56" s="182"/>
      <c r="I56" s="182"/>
      <c r="J56" s="182"/>
      <c r="K56" s="183"/>
      <c r="L56" s="169">
        <f>SUM(L29:L55)</f>
        <v>0</v>
      </c>
      <c r="M56" s="169">
        <f>SUM(M29:M55)</f>
        <v>0</v>
      </c>
      <c r="N56" s="169">
        <f>SUM(N29:N55)</f>
        <v>64.72</v>
      </c>
      <c r="O56" s="169">
        <f>SUM(O29:O55)</f>
        <v>64.72</v>
      </c>
      <c r="P56" s="184"/>
    </row>
    <row r="57" spans="1:221" ht="13" x14ac:dyDescent="0.3">
      <c r="A57" s="37"/>
      <c r="D57" s="1"/>
      <c r="E57" s="35"/>
      <c r="F57" s="4"/>
      <c r="G57" s="42"/>
      <c r="H57" s="42"/>
      <c r="I57" s="42"/>
      <c r="J57" s="42"/>
      <c r="K57" s="36"/>
      <c r="L57" s="36"/>
      <c r="M57" s="36"/>
      <c r="N57" s="36"/>
      <c r="O57" s="34"/>
      <c r="P57" s="36"/>
    </row>
    <row r="58" spans="1:221" ht="13" x14ac:dyDescent="0.3">
      <c r="A58" s="271" t="s">
        <v>71</v>
      </c>
      <c r="B58" s="92"/>
      <c r="C58" s="92"/>
      <c r="D58" s="92"/>
      <c r="E58" s="92"/>
      <c r="F58" s="92"/>
      <c r="G58" s="92"/>
      <c r="H58" s="92"/>
      <c r="I58" s="92"/>
      <c r="J58" s="92"/>
      <c r="K58" s="92"/>
      <c r="L58" s="98">
        <f>L25+L56</f>
        <v>0</v>
      </c>
      <c r="M58" s="98">
        <f>M25+M56</f>
        <v>0</v>
      </c>
      <c r="N58" s="98">
        <f>N25+N56</f>
        <v>203.22</v>
      </c>
      <c r="O58" s="98">
        <f>O25+O56</f>
        <v>203.22</v>
      </c>
      <c r="P58" s="98"/>
    </row>
    <row r="59" spans="1:221" ht="13" x14ac:dyDescent="0.3">
      <c r="A59" s="37"/>
      <c r="B59" s="37"/>
      <c r="C59" s="37"/>
      <c r="D59" s="37"/>
      <c r="E59" s="37"/>
      <c r="F59" s="37"/>
      <c r="G59" s="37"/>
      <c r="H59" s="37"/>
      <c r="I59" s="37"/>
      <c r="J59" s="37"/>
      <c r="K59" s="37"/>
      <c r="L59" s="37"/>
      <c r="M59" s="37"/>
      <c r="N59" s="37"/>
      <c r="O59" s="40"/>
      <c r="P59" s="40"/>
    </row>
    <row r="60" spans="1:221" ht="13" x14ac:dyDescent="0.3">
      <c r="A60" s="37" t="s">
        <v>37</v>
      </c>
      <c r="B60" s="37"/>
      <c r="C60" s="37"/>
      <c r="D60" s="37"/>
      <c r="E60" s="37"/>
      <c r="F60" s="37"/>
      <c r="G60" s="37"/>
      <c r="H60" s="37"/>
      <c r="I60" s="37"/>
      <c r="J60" s="37"/>
      <c r="K60" s="37"/>
      <c r="L60" s="37"/>
      <c r="M60" s="37"/>
      <c r="N60" s="37"/>
      <c r="O60" s="45">
        <f>O23+O56</f>
        <v>203.22</v>
      </c>
      <c r="P60" s="245">
        <v>40967</v>
      </c>
    </row>
    <row r="61" spans="1:221" ht="13" x14ac:dyDescent="0.3">
      <c r="A61" s="37"/>
      <c r="B61" s="37"/>
      <c r="C61" s="37"/>
      <c r="D61" s="37"/>
      <c r="E61" s="37"/>
      <c r="F61" s="37"/>
      <c r="G61" s="46"/>
      <c r="H61" s="46"/>
      <c r="I61" s="46"/>
      <c r="J61" s="46"/>
      <c r="K61" s="36"/>
      <c r="L61" s="36"/>
      <c r="M61" s="36"/>
      <c r="N61" s="36"/>
      <c r="O61" s="40"/>
    </row>
    <row r="62" spans="1:221" ht="13" x14ac:dyDescent="0.3">
      <c r="A62" s="41" t="s">
        <v>116</v>
      </c>
      <c r="B62" s="37"/>
      <c r="C62" s="37"/>
      <c r="D62" s="37"/>
      <c r="E62" s="37"/>
      <c r="F62" s="37"/>
      <c r="G62" s="46"/>
      <c r="H62" s="46"/>
      <c r="I62" s="46"/>
      <c r="J62" s="46"/>
      <c r="K62" s="36"/>
      <c r="L62" s="36"/>
      <c r="M62" s="36"/>
      <c r="N62" s="36"/>
      <c r="O62" s="138">
        <f>MAX($O$58,$O$60)</f>
        <v>203.22</v>
      </c>
    </row>
    <row r="63" spans="1:221" ht="13" x14ac:dyDescent="0.3">
      <c r="A63" s="37"/>
      <c r="B63" s="37"/>
      <c r="C63" s="37"/>
      <c r="D63" s="37"/>
      <c r="E63" s="37"/>
      <c r="F63" s="37"/>
      <c r="G63" s="46"/>
      <c r="H63" s="46"/>
      <c r="I63" s="46"/>
      <c r="J63" s="46"/>
      <c r="K63" s="36"/>
      <c r="L63" s="36"/>
      <c r="M63" s="36"/>
      <c r="N63" s="36"/>
      <c r="O63" s="40"/>
    </row>
    <row r="64" spans="1:221" ht="13" x14ac:dyDescent="0.3">
      <c r="A64" s="37"/>
      <c r="B64" s="37"/>
      <c r="C64" s="37"/>
      <c r="D64" s="37"/>
      <c r="E64" s="37"/>
      <c r="F64" s="37"/>
      <c r="G64" s="96" t="s">
        <v>85</v>
      </c>
      <c r="H64" s="46"/>
      <c r="I64" s="37"/>
      <c r="J64" s="46"/>
      <c r="K64" s="36"/>
      <c r="L64" s="191"/>
      <c r="M64" s="191"/>
      <c r="N64" s="191"/>
      <c r="O64" s="191">
        <f>ROUND(IF($C$16&lt;1,0,$O$62/($C$16*100)*10000),2)</f>
        <v>0</v>
      </c>
      <c r="P64" s="37" t="s">
        <v>86</v>
      </c>
    </row>
    <row r="65" spans="1:16" ht="13" x14ac:dyDescent="0.3">
      <c r="A65" s="37"/>
      <c r="B65" s="37"/>
      <c r="C65" s="37"/>
      <c r="D65" s="37"/>
      <c r="E65" s="37"/>
      <c r="F65" s="37"/>
      <c r="G65" s="242" t="s">
        <v>199</v>
      </c>
      <c r="H65" s="136"/>
      <c r="I65" s="133"/>
      <c r="J65" s="136"/>
      <c r="K65" s="137"/>
      <c r="L65" s="78"/>
      <c r="M65" s="78"/>
      <c r="N65" s="78"/>
      <c r="O65" s="243">
        <f>ROUND(IF($C$16&lt;1,0,(L58)/($C$16*100)*10000),2)</f>
        <v>0</v>
      </c>
      <c r="P65" s="25" t="s">
        <v>86</v>
      </c>
    </row>
    <row r="66" spans="1:16" ht="13" x14ac:dyDescent="0.3">
      <c r="A66" s="37"/>
      <c r="B66" s="37"/>
      <c r="C66" s="37"/>
      <c r="D66" s="37"/>
      <c r="E66" s="37"/>
      <c r="F66" s="37"/>
      <c r="G66" s="96"/>
      <c r="H66" s="46"/>
      <c r="I66" s="96"/>
      <c r="J66" s="46"/>
      <c r="K66" s="36"/>
      <c r="L66" s="36"/>
      <c r="M66" s="36"/>
      <c r="N66" s="36"/>
      <c r="O66" s="130"/>
      <c r="P66" s="37"/>
    </row>
    <row r="67" spans="1:16" ht="20.25" customHeight="1" x14ac:dyDescent="0.4">
      <c r="A67" s="3"/>
      <c r="B67" s="37"/>
      <c r="C67" s="37"/>
      <c r="D67" s="228" t="str">
        <f>IF('Customer Info'!$C$32=TRUE,"Notice: Billing Charge does not include Self Assessed KWH Tax"," ")</f>
        <v xml:space="preserve"> </v>
      </c>
      <c r="E67" s="3"/>
      <c r="F67" s="4"/>
      <c r="G67" s="121"/>
      <c r="H67" s="55"/>
      <c r="I67" s="34"/>
      <c r="J67" s="55"/>
      <c r="K67" s="37"/>
      <c r="L67" s="37"/>
      <c r="M67" s="37"/>
      <c r="N67" s="34"/>
    </row>
    <row r="68" spans="1:16" ht="13" x14ac:dyDescent="0.3">
      <c r="A68" s="37"/>
      <c r="B68" s="37"/>
      <c r="C68" s="37"/>
      <c r="D68" s="54"/>
      <c r="E68" s="3"/>
      <c r="F68" s="4"/>
      <c r="G68" s="55"/>
      <c r="H68" s="55"/>
      <c r="I68" s="93"/>
      <c r="J68" s="55"/>
      <c r="K68" s="37"/>
      <c r="L68" s="37"/>
      <c r="M68" s="37"/>
      <c r="N68" s="37"/>
      <c r="O68" s="40"/>
    </row>
    <row r="69" spans="1:16" ht="13" x14ac:dyDescent="0.3">
      <c r="A69" s="37"/>
      <c r="B69" s="37"/>
      <c r="C69" s="37"/>
      <c r="D69" s="54"/>
      <c r="E69" s="3"/>
      <c r="F69" s="4"/>
      <c r="G69" s="55"/>
      <c r="H69" s="55"/>
      <c r="I69" s="55"/>
      <c r="J69" s="55"/>
      <c r="K69" s="37"/>
      <c r="L69" s="37"/>
      <c r="M69" s="37"/>
      <c r="N69" s="37"/>
      <c r="O69" s="40"/>
    </row>
    <row r="70" spans="1:16" ht="13" x14ac:dyDescent="0.3">
      <c r="A70" s="41"/>
      <c r="B70" s="37"/>
      <c r="C70" s="37"/>
      <c r="D70" s="37"/>
      <c r="E70" s="37"/>
      <c r="F70" s="37"/>
      <c r="G70" s="37"/>
      <c r="H70" s="37"/>
      <c r="J70" s="37"/>
      <c r="K70" s="37"/>
      <c r="L70" s="40"/>
      <c r="M70" s="40"/>
      <c r="N70" s="40"/>
      <c r="O70" s="138"/>
    </row>
    <row r="71" spans="1:16" ht="13" x14ac:dyDescent="0.3">
      <c r="B71" s="37"/>
      <c r="C71" s="37"/>
      <c r="D71" s="37"/>
      <c r="E71" s="37"/>
      <c r="F71" s="37"/>
      <c r="G71" s="96"/>
      <c r="H71" s="37"/>
      <c r="I71" s="37"/>
      <c r="J71" s="37"/>
      <c r="K71" s="37"/>
      <c r="L71" s="60"/>
      <c r="M71" s="60"/>
      <c r="N71" s="60"/>
      <c r="O71" s="130"/>
      <c r="P71" s="37"/>
    </row>
    <row r="72" spans="1:16" ht="13" x14ac:dyDescent="0.3">
      <c r="G72" s="133"/>
      <c r="H72" s="56"/>
      <c r="I72" s="133"/>
      <c r="J72" s="56"/>
      <c r="K72" s="56"/>
      <c r="L72" s="134"/>
      <c r="M72" s="134"/>
      <c r="N72" s="134"/>
      <c r="O72" s="135"/>
      <c r="P72" s="25"/>
    </row>
    <row r="74" spans="1:16" x14ac:dyDescent="0.25">
      <c r="A74" s="434"/>
    </row>
    <row r="75" spans="1:16" x14ac:dyDescent="0.25">
      <c r="A75" s="434"/>
    </row>
    <row r="76" spans="1:16" x14ac:dyDescent="0.25">
      <c r="A76" s="434"/>
    </row>
    <row r="77" spans="1:16" x14ac:dyDescent="0.25">
      <c r="A77" s="434"/>
    </row>
    <row r="78" spans="1:16" x14ac:dyDescent="0.25">
      <c r="A78" s="434"/>
    </row>
    <row r="79" spans="1:16" x14ac:dyDescent="0.25">
      <c r="A79" s="434"/>
    </row>
    <row r="80" spans="1:1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sheetData>
  <sheetProtection password="D7E1" sheet="1" objects="1" scenarios="1"/>
  <mergeCells count="26">
    <mergeCell ref="EO2:FD2"/>
    <mergeCell ref="FE2:FT2"/>
    <mergeCell ref="A1:P1"/>
    <mergeCell ref="A2:P2"/>
    <mergeCell ref="Q2:AF2"/>
    <mergeCell ref="AG2:AV2"/>
    <mergeCell ref="AW2:BL2"/>
    <mergeCell ref="BM2:CB2"/>
    <mergeCell ref="A3:P3"/>
    <mergeCell ref="CC2:CR2"/>
    <mergeCell ref="CS2:DH2"/>
    <mergeCell ref="DI2:DX2"/>
    <mergeCell ref="DY2:EN2"/>
    <mergeCell ref="FU2:GJ2"/>
    <mergeCell ref="GK2:GZ2"/>
    <mergeCell ref="HA2:HP2"/>
    <mergeCell ref="HQ2:IF2"/>
    <mergeCell ref="IG2:IV2"/>
    <mergeCell ref="A74:A88"/>
    <mergeCell ref="A4:P4"/>
    <mergeCell ref="A7:P7"/>
    <mergeCell ref="A11:I11"/>
    <mergeCell ref="D18:H18"/>
    <mergeCell ref="D19:H19"/>
    <mergeCell ref="G21:J21"/>
    <mergeCell ref="L21:O21"/>
  </mergeCells>
  <printOptions horizontalCentered="1"/>
  <pageMargins left="0.5" right="0.5" top="0.25" bottom="0.25" header="0.25" footer="0.26"/>
  <pageSetup scale="60" orientation="landscape" r:id="rId1"/>
  <headerFooter alignWithMargins="0"/>
  <rowBreaks count="1" manualBreakCount="1">
    <brk id="7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94210" r:id="rId5" name="Button 2">
              <controlPr defaultSize="0" print="0" autoFill="0" autoPict="0" macro="[0]!Info">
                <anchor moveWithCells="1">
                  <from>
                    <xdr:col>15</xdr:col>
                    <xdr:colOff>279400</xdr:colOff>
                    <xdr:row>82</xdr:row>
                    <xdr:rowOff>50800</xdr:rowOff>
                  </from>
                  <to>
                    <xdr:col>16</xdr:col>
                    <xdr:colOff>31750</xdr:colOff>
                    <xdr:row>83</xdr:row>
                    <xdr:rowOff>88900</xdr:rowOff>
                  </to>
                </anchor>
              </controlPr>
            </control>
          </mc:Choice>
        </mc:AlternateContent>
        <mc:AlternateContent xmlns:mc="http://schemas.openxmlformats.org/markup-compatibility/2006">
          <mc:Choice Requires="x14">
            <control shapeId="94211"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4212"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4213"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4214"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94215"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4216"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4217"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4218"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94219"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4220"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4221"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4222"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94223"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4224"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4225"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4226"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94227"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4228"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4229"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4230"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94231"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4232"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4233"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4234"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94235"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4236"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4237"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4238"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94239"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4240"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4241"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4242"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94243"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4244"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4245"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4246"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94247"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4248"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4249"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4250"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94251"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4252"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4253"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4254"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94255"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4256"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4257"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4258"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94259"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4260"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4261"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4262"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94263"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94264"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94265"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94266"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95"/>
  <sheetViews>
    <sheetView showGridLines="0" topLeftCell="A3" zoomScale="80" zoomScaleNormal="80" workbookViewId="0">
      <selection activeCell="C9" sqref="C9"/>
    </sheetView>
  </sheetViews>
  <sheetFormatPr defaultColWidth="9.1796875" defaultRowHeight="12.5" x14ac:dyDescent="0.25"/>
  <cols>
    <col min="1" max="1" width="31" style="300" customWidth="1"/>
    <col min="2" max="2" width="2.1796875" style="300" customWidth="1"/>
    <col min="3" max="3" width="19.26953125" style="300" customWidth="1"/>
    <col min="4" max="4" width="15.26953125" style="300" customWidth="1"/>
    <col min="5" max="5" width="9.81640625" style="300" customWidth="1"/>
    <col min="6" max="6" width="3.7265625" style="300" customWidth="1"/>
    <col min="7" max="8" width="13.26953125" style="300" customWidth="1"/>
    <col min="9" max="9" width="14.54296875" style="300" customWidth="1"/>
    <col min="10" max="10" width="13.26953125" style="300" customWidth="1"/>
    <col min="11" max="11" width="7" style="300" customWidth="1"/>
    <col min="12" max="12" width="15.1796875" style="300" customWidth="1"/>
    <col min="13" max="14" width="14.453125" style="300" customWidth="1"/>
    <col min="15" max="15" width="16.26953125" style="300" bestFit="1" customWidth="1"/>
    <col min="16" max="16" width="13.81640625" style="300" bestFit="1" customWidth="1"/>
    <col min="17" max="17" width="9.1796875" style="300"/>
    <col min="18" max="26" width="9.1796875" style="300" hidden="1" customWidth="1"/>
    <col min="27" max="27" width="10.54296875" style="300" hidden="1" customWidth="1"/>
    <col min="28" max="29" width="9.1796875" style="300" hidden="1" customWidth="1"/>
    <col min="30" max="30" width="10" style="300" hidden="1" customWidth="1"/>
    <col min="31" max="16384" width="9.1796875" style="300"/>
  </cols>
  <sheetData>
    <row r="1" spans="1:256" ht="20" x14ac:dyDescent="0.4">
      <c r="A1" s="463" t="s">
        <v>119</v>
      </c>
      <c r="B1" s="463"/>
      <c r="C1" s="463"/>
      <c r="D1" s="463"/>
      <c r="E1" s="463"/>
      <c r="F1" s="463"/>
      <c r="G1" s="463"/>
      <c r="H1" s="463"/>
      <c r="I1" s="463"/>
      <c r="J1" s="463"/>
      <c r="K1" s="463"/>
      <c r="L1" s="463"/>
      <c r="M1" s="463"/>
      <c r="N1" s="463"/>
      <c r="O1" s="463"/>
      <c r="P1" s="463"/>
    </row>
    <row r="2" spans="1:256" ht="20" x14ac:dyDescent="0.4">
      <c r="A2" s="456" t="s">
        <v>122</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456"/>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c r="DA2" s="456"/>
      <c r="DB2" s="456"/>
      <c r="DC2" s="456"/>
      <c r="DD2" s="456"/>
      <c r="DE2" s="456"/>
      <c r="DF2" s="456"/>
      <c r="DG2" s="456"/>
      <c r="DH2" s="456"/>
      <c r="DI2" s="456"/>
      <c r="DJ2" s="456"/>
      <c r="DK2" s="456"/>
      <c r="DL2" s="456"/>
      <c r="DM2" s="456"/>
      <c r="DN2" s="456"/>
      <c r="DO2" s="456"/>
      <c r="DP2" s="456"/>
      <c r="DQ2" s="456"/>
      <c r="DR2" s="456"/>
      <c r="DS2" s="456"/>
      <c r="DT2" s="456"/>
      <c r="DU2" s="456"/>
      <c r="DV2" s="456"/>
      <c r="DW2" s="456"/>
      <c r="DX2" s="456"/>
      <c r="DY2" s="456"/>
      <c r="DZ2" s="456"/>
      <c r="EA2" s="456"/>
      <c r="EB2" s="456"/>
      <c r="EC2" s="456"/>
      <c r="ED2" s="456"/>
      <c r="EE2" s="456"/>
      <c r="EF2" s="456"/>
      <c r="EG2" s="456"/>
      <c r="EH2" s="456"/>
      <c r="EI2" s="456"/>
      <c r="EJ2" s="456"/>
      <c r="EK2" s="456"/>
      <c r="EL2" s="456"/>
      <c r="EM2" s="456"/>
      <c r="EN2" s="456"/>
      <c r="EO2" s="456"/>
      <c r="EP2" s="456"/>
      <c r="EQ2" s="456"/>
      <c r="ER2" s="456"/>
      <c r="ES2" s="456"/>
      <c r="ET2" s="456"/>
      <c r="EU2" s="456"/>
      <c r="EV2" s="456"/>
      <c r="EW2" s="456"/>
      <c r="EX2" s="456"/>
      <c r="EY2" s="456"/>
      <c r="EZ2" s="456"/>
      <c r="FA2" s="456"/>
      <c r="FB2" s="456"/>
      <c r="FC2" s="456"/>
      <c r="FD2" s="456"/>
      <c r="FE2" s="456"/>
      <c r="FF2" s="456"/>
      <c r="FG2" s="456"/>
      <c r="FH2" s="456"/>
      <c r="FI2" s="456"/>
      <c r="FJ2" s="456"/>
      <c r="FK2" s="456"/>
      <c r="FL2" s="456"/>
      <c r="FM2" s="456"/>
      <c r="FN2" s="456"/>
      <c r="FO2" s="456"/>
      <c r="FP2" s="456"/>
      <c r="FQ2" s="456"/>
      <c r="FR2" s="456"/>
      <c r="FS2" s="456"/>
      <c r="FT2" s="456"/>
      <c r="FU2" s="456"/>
      <c r="FV2" s="456"/>
      <c r="FW2" s="456"/>
      <c r="FX2" s="456"/>
      <c r="FY2" s="456"/>
      <c r="FZ2" s="456"/>
      <c r="GA2" s="456"/>
      <c r="GB2" s="456"/>
      <c r="GC2" s="456"/>
      <c r="GD2" s="456"/>
      <c r="GE2" s="456"/>
      <c r="GF2" s="456"/>
      <c r="GG2" s="456"/>
      <c r="GH2" s="456"/>
      <c r="GI2" s="456"/>
      <c r="GJ2" s="456"/>
      <c r="GK2" s="456"/>
      <c r="GL2" s="456"/>
      <c r="GM2" s="456"/>
      <c r="GN2" s="456"/>
      <c r="GO2" s="456"/>
      <c r="GP2" s="456"/>
      <c r="GQ2" s="456"/>
      <c r="GR2" s="456"/>
      <c r="GS2" s="456"/>
      <c r="GT2" s="456"/>
      <c r="GU2" s="456"/>
      <c r="GV2" s="456"/>
      <c r="GW2" s="456"/>
      <c r="GX2" s="456"/>
      <c r="GY2" s="456"/>
      <c r="GZ2" s="456"/>
      <c r="HA2" s="456"/>
      <c r="HB2" s="456"/>
      <c r="HC2" s="456"/>
      <c r="HD2" s="456"/>
      <c r="HE2" s="456"/>
      <c r="HF2" s="456"/>
      <c r="HG2" s="456"/>
      <c r="HH2" s="456"/>
      <c r="HI2" s="456"/>
      <c r="HJ2" s="456"/>
      <c r="HK2" s="456"/>
      <c r="HL2" s="456"/>
      <c r="HM2" s="456"/>
      <c r="HN2" s="456"/>
      <c r="HO2" s="456"/>
      <c r="HP2" s="456"/>
      <c r="HQ2" s="456"/>
      <c r="HR2" s="456"/>
      <c r="HS2" s="456"/>
      <c r="HT2" s="456"/>
      <c r="HU2" s="456"/>
      <c r="HV2" s="456"/>
      <c r="HW2" s="456"/>
      <c r="HX2" s="456"/>
      <c r="HY2" s="456"/>
      <c r="HZ2" s="456"/>
      <c r="IA2" s="456"/>
      <c r="IB2" s="456"/>
      <c r="IC2" s="456"/>
      <c r="ID2" s="456"/>
      <c r="IE2" s="456"/>
      <c r="IF2" s="456"/>
      <c r="IG2" s="456"/>
      <c r="IH2" s="456"/>
      <c r="II2" s="456"/>
      <c r="IJ2" s="456"/>
      <c r="IK2" s="456"/>
      <c r="IL2" s="456"/>
      <c r="IM2" s="456"/>
      <c r="IN2" s="456"/>
      <c r="IO2" s="456"/>
      <c r="IP2" s="456"/>
      <c r="IQ2" s="456"/>
      <c r="IR2" s="456"/>
      <c r="IS2" s="456"/>
      <c r="IT2" s="456"/>
      <c r="IU2" s="456"/>
      <c r="IV2" s="456"/>
    </row>
    <row r="3" spans="1:256" ht="18" x14ac:dyDescent="0.4">
      <c r="A3" s="464" t="s">
        <v>269</v>
      </c>
      <c r="B3" s="464"/>
      <c r="C3" s="464"/>
      <c r="D3" s="464"/>
      <c r="E3" s="464"/>
      <c r="F3" s="464"/>
      <c r="G3" s="464"/>
      <c r="H3" s="464"/>
      <c r="I3" s="464"/>
      <c r="J3" s="464"/>
      <c r="K3" s="464"/>
      <c r="L3" s="464"/>
      <c r="M3" s="464"/>
      <c r="N3" s="464"/>
      <c r="O3" s="464"/>
      <c r="P3" s="464"/>
    </row>
    <row r="4" spans="1:256" ht="15.5" x14ac:dyDescent="0.35">
      <c r="A4" s="465" t="s">
        <v>94</v>
      </c>
      <c r="B4" s="465"/>
      <c r="C4" s="465"/>
      <c r="D4" s="465"/>
      <c r="E4" s="465"/>
      <c r="F4" s="465"/>
      <c r="G4" s="465"/>
      <c r="H4" s="465"/>
      <c r="I4" s="465"/>
      <c r="J4" s="465"/>
      <c r="K4" s="465"/>
      <c r="L4" s="465"/>
      <c r="M4" s="465"/>
      <c r="N4" s="465"/>
      <c r="O4" s="465"/>
      <c r="P4" s="465"/>
    </row>
    <row r="5" spans="1:256" ht="15.5" x14ac:dyDescent="0.35">
      <c r="A5" s="375"/>
      <c r="B5" s="375"/>
      <c r="C5" s="375"/>
      <c r="D5" s="375"/>
      <c r="E5" s="375"/>
      <c r="F5" s="375"/>
      <c r="G5" s="375"/>
      <c r="H5" s="375"/>
      <c r="I5" s="375"/>
      <c r="J5" s="375"/>
      <c r="K5" s="375"/>
    </row>
    <row r="6" spans="1:256" x14ac:dyDescent="0.25">
      <c r="A6" s="374">
        <f ca="1">TODAY()</f>
        <v>45378</v>
      </c>
      <c r="B6" s="340" t="s">
        <v>266</v>
      </c>
      <c r="C6" s="374"/>
      <c r="D6" s="374"/>
      <c r="E6" s="374"/>
      <c r="F6" s="374"/>
      <c r="G6" s="374"/>
      <c r="H6" s="374"/>
      <c r="I6" s="374"/>
    </row>
    <row r="7" spans="1:256" ht="25" x14ac:dyDescent="0.5">
      <c r="A7" s="457"/>
      <c r="B7" s="457"/>
      <c r="C7" s="457"/>
      <c r="D7" s="457"/>
      <c r="E7" s="457"/>
      <c r="F7" s="457"/>
      <c r="G7" s="457"/>
      <c r="H7" s="457"/>
      <c r="I7" s="457"/>
      <c r="J7" s="457"/>
      <c r="K7" s="457"/>
      <c r="L7" s="457"/>
      <c r="M7" s="457"/>
      <c r="N7" s="457"/>
      <c r="O7" s="457"/>
      <c r="P7" s="457"/>
    </row>
    <row r="8" spans="1:256" ht="15.5" x14ac:dyDescent="0.35">
      <c r="A8" s="364" t="s">
        <v>2</v>
      </c>
      <c r="B8" s="371"/>
      <c r="C8" s="25">
        <f>'Customer Info'!B7</f>
        <v>0</v>
      </c>
      <c r="D8"/>
      <c r="I8" s="373"/>
    </row>
    <row r="9" spans="1:256" ht="15.5" x14ac:dyDescent="0.35">
      <c r="A9" s="372" t="s">
        <v>26</v>
      </c>
      <c r="B9" s="371"/>
      <c r="C9" s="25">
        <f>'Customer Info'!B8</f>
        <v>0</v>
      </c>
      <c r="D9"/>
    </row>
    <row r="10" spans="1:256" ht="13" x14ac:dyDescent="0.3">
      <c r="A10" s="364" t="s">
        <v>3</v>
      </c>
      <c r="B10" s="200">
        <f>'Customer Info'!B9</f>
        <v>4</v>
      </c>
      <c r="C10" s="194" t="str">
        <f>LOOKUP(B10,R10:AD10,R11:AD11)</f>
        <v>April</v>
      </c>
      <c r="D10" s="133">
        <f>'Customer Info'!C9</f>
        <v>2024</v>
      </c>
      <c r="S10" s="300">
        <v>1</v>
      </c>
      <c r="T10" s="300">
        <v>2</v>
      </c>
      <c r="U10" s="300">
        <v>3</v>
      </c>
      <c r="V10" s="300">
        <v>4</v>
      </c>
      <c r="W10" s="300">
        <v>5</v>
      </c>
      <c r="X10" s="300">
        <v>6</v>
      </c>
      <c r="Y10" s="300">
        <v>7</v>
      </c>
      <c r="Z10" s="300">
        <v>8</v>
      </c>
      <c r="AA10" s="300">
        <v>9</v>
      </c>
      <c r="AB10" s="300">
        <v>10</v>
      </c>
      <c r="AC10" s="300">
        <v>11</v>
      </c>
      <c r="AD10" s="300">
        <v>12</v>
      </c>
    </row>
    <row r="11" spans="1:256" ht="15" customHeight="1" x14ac:dyDescent="0.3">
      <c r="A11" s="467"/>
      <c r="B11" s="467"/>
      <c r="C11" s="467"/>
      <c r="D11" s="467"/>
      <c r="E11" s="467"/>
      <c r="F11" s="467"/>
      <c r="G11" s="467"/>
      <c r="H11" s="467"/>
      <c r="I11" s="467"/>
      <c r="R11" s="300" t="s">
        <v>114</v>
      </c>
      <c r="S11" s="370" t="s">
        <v>101</v>
      </c>
      <c r="T11" s="370" t="s">
        <v>102</v>
      </c>
      <c r="U11" s="370" t="s">
        <v>103</v>
      </c>
      <c r="V11" s="370" t="s">
        <v>104</v>
      </c>
      <c r="W11" s="370" t="s">
        <v>105</v>
      </c>
      <c r="X11" s="370" t="s">
        <v>106</v>
      </c>
      <c r="Y11" s="370" t="s">
        <v>107</v>
      </c>
      <c r="Z11" s="370" t="s">
        <v>108</v>
      </c>
      <c r="AA11" s="370" t="s">
        <v>109</v>
      </c>
      <c r="AB11" s="370" t="s">
        <v>111</v>
      </c>
      <c r="AC11" s="370" t="s">
        <v>110</v>
      </c>
      <c r="AD11" s="370" t="s">
        <v>112</v>
      </c>
    </row>
    <row r="12" spans="1:256" ht="13" x14ac:dyDescent="0.3">
      <c r="A12" s="362" t="s">
        <v>27</v>
      </c>
      <c r="B12" s="361"/>
      <c r="C12" s="361"/>
      <c r="D12" s="361"/>
      <c r="E12" s="361"/>
      <c r="F12" s="361"/>
      <c r="G12" s="361"/>
      <c r="H12" s="361"/>
      <c r="I12" s="361"/>
      <c r="J12" s="361"/>
      <c r="K12" s="361"/>
      <c r="L12" s="361"/>
      <c r="M12" s="361"/>
      <c r="N12" s="361"/>
      <c r="O12" s="361"/>
      <c r="P12" s="361"/>
      <c r="R12" s="310" t="s">
        <v>196</v>
      </c>
      <c r="S12" s="366">
        <v>3.1399999999999997E-2</v>
      </c>
      <c r="T12" s="366">
        <v>3.1399999999999997E-2</v>
      </c>
      <c r="U12" s="366">
        <v>3.1399999999999997E-2</v>
      </c>
      <c r="V12" s="366">
        <v>3.1399999999999997E-2</v>
      </c>
      <c r="W12" s="366">
        <v>3.1399999999999997E-2</v>
      </c>
      <c r="X12" s="366">
        <v>3.1399999999999997E-2</v>
      </c>
      <c r="Y12" s="366">
        <v>3.1399999999999997E-2</v>
      </c>
      <c r="Z12" s="366">
        <v>3.1399999999999997E-2</v>
      </c>
      <c r="AA12" s="366">
        <v>3.1399999999999997E-2</v>
      </c>
      <c r="AB12" s="366">
        <v>3.1399999999999997E-2</v>
      </c>
      <c r="AC12" s="366">
        <v>3.1399999999999997E-2</v>
      </c>
      <c r="AD12" s="366">
        <v>3.1399999999999997E-2</v>
      </c>
    </row>
    <row r="13" spans="1:256" x14ac:dyDescent="0.25">
      <c r="A13" s="359"/>
      <c r="B13" s="359"/>
      <c r="C13" s="369" t="s">
        <v>54</v>
      </c>
      <c r="D13" s="369" t="s">
        <v>55</v>
      </c>
      <c r="E13" s="359"/>
      <c r="F13" s="359"/>
      <c r="G13" s="359"/>
      <c r="H13" s="359"/>
      <c r="I13" s="359"/>
      <c r="J13" s="359"/>
      <c r="K13" s="359"/>
      <c r="L13" s="359"/>
      <c r="M13" s="359"/>
      <c r="N13" s="359"/>
      <c r="O13" s="359"/>
    </row>
    <row r="14" spans="1:256" x14ac:dyDescent="0.25">
      <c r="A14" s="355" t="s">
        <v>28</v>
      </c>
      <c r="B14" s="355"/>
      <c r="C14" s="44">
        <f>'Customer Info'!B18</f>
        <v>0</v>
      </c>
      <c r="D14" s="44">
        <f>ROUND(C14*C20,1)</f>
        <v>0</v>
      </c>
      <c r="E14" s="355" t="s">
        <v>45</v>
      </c>
      <c r="F14" s="368"/>
      <c r="G14" s="355" t="s">
        <v>15</v>
      </c>
      <c r="I14" s="53" t="s">
        <v>15</v>
      </c>
      <c r="J14" s="355"/>
      <c r="K14" s="355"/>
      <c r="L14" s="355"/>
      <c r="M14" s="355"/>
      <c r="N14" s="355"/>
    </row>
    <row r="15" spans="1:256" x14ac:dyDescent="0.25">
      <c r="A15" s="363" t="s">
        <v>29</v>
      </c>
      <c r="B15" s="363"/>
      <c r="C15" s="44">
        <f>'Customer Info'!B19</f>
        <v>0</v>
      </c>
      <c r="D15" s="44">
        <f>C15*C20</f>
        <v>0</v>
      </c>
      <c r="E15" s="355" t="s">
        <v>45</v>
      </c>
      <c r="F15" s="365"/>
      <c r="G15" s="363" t="s">
        <v>30</v>
      </c>
      <c r="I15" s="367" t="str">
        <f>IF(MAX(C14,C15)&gt;0,C16/(MAX(C14,C15)*730), " ")</f>
        <v xml:space="preserve"> </v>
      </c>
      <c r="J15" s="363"/>
      <c r="K15" s="363"/>
      <c r="L15" s="363"/>
      <c r="M15" s="363"/>
      <c r="N15" s="363"/>
      <c r="X15" s="366"/>
      <c r="Y15" s="366"/>
      <c r="Z15" s="366"/>
      <c r="AA15" s="366"/>
    </row>
    <row r="16" spans="1:256" x14ac:dyDescent="0.25">
      <c r="A16" s="363" t="s">
        <v>43</v>
      </c>
      <c r="B16" s="363"/>
      <c r="C16" s="32">
        <f>IF('Customer Info'!B21+'Customer Info'!B22-'Customer Info'!B23&lt;0,0,'Customer Info'!B21+'Customer Info'!B22-'Customer Info'!B23)</f>
        <v>0</v>
      </c>
      <c r="D16" s="32">
        <f>C16*C20</f>
        <v>0</v>
      </c>
      <c r="E16" s="363" t="s">
        <v>41</v>
      </c>
      <c r="F16" s="365"/>
      <c r="G16" s="363"/>
      <c r="H16" s="363"/>
      <c r="I16" s="363"/>
      <c r="J16" s="363"/>
      <c r="K16" s="363"/>
      <c r="L16" s="363"/>
      <c r="M16" s="363"/>
      <c r="N16" s="363"/>
      <c r="O16" s="363"/>
    </row>
    <row r="17" spans="1:30" x14ac:dyDescent="0.25">
      <c r="A17" s="363" t="s">
        <v>295</v>
      </c>
      <c r="B17" s="363"/>
      <c r="C17" s="32">
        <f>'Customer Info'!$B$27</f>
        <v>0</v>
      </c>
      <c r="D17" s="32">
        <f>$C$17*$C$20</f>
        <v>0</v>
      </c>
      <c r="E17" s="363" t="s">
        <v>298</v>
      </c>
      <c r="F17" s="365"/>
      <c r="K17" s="363"/>
      <c r="L17" s="363"/>
      <c r="M17" s="363"/>
      <c r="N17" s="363"/>
    </row>
    <row r="18" spans="1:30" x14ac:dyDescent="0.25">
      <c r="A18" s="363" t="s">
        <v>296</v>
      </c>
      <c r="B18" s="363"/>
      <c r="C18" s="376">
        <f>IF('Customer Info'!$B$18=0,0,ROUND(MAX(ROUND('Customer Info'!$B$18*'GS PRI'!C20,1),ROUND('Customer Info'!$B$19*'GS PRI'!C20,1))/'Customer Info'!$D$29,1))</f>
        <v>0</v>
      </c>
      <c r="D18" s="287">
        <f>$C$18</f>
        <v>0</v>
      </c>
      <c r="E18" s="363" t="s">
        <v>299</v>
      </c>
      <c r="F18" s="365"/>
      <c r="K18" s="363"/>
      <c r="L18" s="363"/>
      <c r="M18" s="363"/>
      <c r="N18" s="363"/>
    </row>
    <row r="19" spans="1:30" x14ac:dyDescent="0.25">
      <c r="A19" s="363" t="s">
        <v>297</v>
      </c>
      <c r="B19" s="363"/>
      <c r="C19" s="32"/>
      <c r="D19" s="376">
        <f>MAX(100,ROUND(1.15*(MAX('Customer Info'!$B$18*'GS PRI'!C20,'Customer Info'!$B$19*'GS PRI'!C20)),1))</f>
        <v>100</v>
      </c>
      <c r="E19" s="363" t="s">
        <v>299</v>
      </c>
      <c r="F19" s="365"/>
      <c r="K19" s="363"/>
      <c r="L19" s="363"/>
      <c r="M19" s="363"/>
      <c r="N19" s="363"/>
    </row>
    <row r="20" spans="1:30" ht="13" x14ac:dyDescent="0.3">
      <c r="A20" s="363" t="s">
        <v>53</v>
      </c>
      <c r="B20" s="363"/>
      <c r="C20" s="58">
        <f>+'Customer Info'!E18</f>
        <v>1</v>
      </c>
      <c r="D20" s="31"/>
      <c r="E20" s="363"/>
      <c r="F20" s="365"/>
      <c r="G20" s="364"/>
      <c r="H20" s="364"/>
      <c r="I20" s="364"/>
      <c r="J20" s="364"/>
      <c r="K20" s="363"/>
      <c r="L20" s="363"/>
      <c r="M20" s="363"/>
      <c r="N20" s="363"/>
      <c r="S20" s="366"/>
      <c r="T20" s="366"/>
      <c r="U20" s="366"/>
      <c r="V20" s="366"/>
      <c r="W20" s="366"/>
      <c r="X20" s="366"/>
      <c r="Y20" s="366"/>
      <c r="Z20" s="366"/>
      <c r="AA20" s="366"/>
      <c r="AB20" s="366"/>
      <c r="AC20" s="366"/>
      <c r="AD20" s="366"/>
    </row>
    <row r="21" spans="1:30" x14ac:dyDescent="0.25">
      <c r="A21" s="363" t="s">
        <v>15</v>
      </c>
      <c r="B21" s="363"/>
      <c r="C21" s="82" t="s">
        <v>15</v>
      </c>
      <c r="D21" s="459" t="s">
        <v>15</v>
      </c>
      <c r="E21" s="459"/>
      <c r="F21" s="459"/>
      <c r="G21" s="459"/>
      <c r="H21" s="459"/>
      <c r="K21" s="363"/>
      <c r="L21" s="363"/>
      <c r="M21" s="363"/>
      <c r="N21" s="363"/>
      <c r="O21" s="50"/>
    </row>
    <row r="22" spans="1:30" ht="13" x14ac:dyDescent="0.3">
      <c r="A22" s="363" t="s">
        <v>15</v>
      </c>
      <c r="B22" s="363"/>
      <c r="C22" s="82" t="s">
        <v>15</v>
      </c>
      <c r="D22" s="459" t="s">
        <v>15</v>
      </c>
      <c r="E22" s="459"/>
      <c r="F22" s="459"/>
      <c r="G22" s="459"/>
      <c r="H22" s="459"/>
      <c r="I22" s="364"/>
      <c r="J22" s="364"/>
      <c r="K22" s="363"/>
      <c r="L22" s="363"/>
      <c r="M22" s="363"/>
      <c r="N22" s="363"/>
      <c r="O22" s="50"/>
    </row>
    <row r="23" spans="1:30" ht="13" x14ac:dyDescent="0.3">
      <c r="A23" s="363"/>
      <c r="B23" s="363"/>
      <c r="C23" s="365"/>
      <c r="D23" s="365"/>
      <c r="E23" s="365"/>
      <c r="F23" s="365"/>
      <c r="G23" s="364"/>
      <c r="H23" s="364"/>
      <c r="I23" s="364"/>
      <c r="J23" s="364"/>
      <c r="K23" s="363"/>
      <c r="L23" s="363"/>
      <c r="M23" s="363"/>
      <c r="N23" s="363"/>
      <c r="O23" s="363"/>
    </row>
    <row r="24" spans="1:30" ht="13" x14ac:dyDescent="0.3">
      <c r="A24" s="362" t="s">
        <v>31</v>
      </c>
      <c r="B24" s="361"/>
      <c r="C24" s="361"/>
      <c r="D24" s="361"/>
      <c r="E24" s="361"/>
      <c r="F24" s="361"/>
      <c r="G24" s="460" t="s">
        <v>67</v>
      </c>
      <c r="H24" s="461"/>
      <c r="I24" s="461"/>
      <c r="J24" s="462"/>
      <c r="K24" s="361"/>
      <c r="L24" s="466" t="s">
        <v>68</v>
      </c>
      <c r="M24" s="466"/>
      <c r="N24" s="466"/>
      <c r="O24" s="466"/>
    </row>
    <row r="25" spans="1:30" ht="13" x14ac:dyDescent="0.3">
      <c r="A25" s="359"/>
      <c r="B25" s="359"/>
      <c r="C25" s="359"/>
      <c r="D25" s="359"/>
      <c r="E25" s="359"/>
      <c r="F25" s="359"/>
      <c r="G25" s="360" t="s">
        <v>64</v>
      </c>
      <c r="H25" s="360" t="s">
        <v>65</v>
      </c>
      <c r="I25" s="360" t="s">
        <v>66</v>
      </c>
      <c r="J25" s="348" t="s">
        <v>34</v>
      </c>
      <c r="K25" s="359"/>
      <c r="L25" s="377" t="s">
        <v>64</v>
      </c>
      <c r="M25" s="377" t="s">
        <v>65</v>
      </c>
      <c r="N25" s="377" t="s">
        <v>66</v>
      </c>
      <c r="O25" s="358" t="s">
        <v>34</v>
      </c>
      <c r="P25" s="357" t="s">
        <v>56</v>
      </c>
    </row>
    <row r="26" spans="1:30" x14ac:dyDescent="0.25">
      <c r="A26" s="300" t="s">
        <v>32</v>
      </c>
      <c r="G26" s="86"/>
      <c r="H26" s="86"/>
      <c r="I26" s="86">
        <v>9.4</v>
      </c>
      <c r="J26" s="86">
        <f>SUM(G26:I26)</f>
        <v>9.4</v>
      </c>
      <c r="L26" s="356"/>
      <c r="M26" s="356"/>
      <c r="N26" s="356">
        <f>I26</f>
        <v>9.4</v>
      </c>
      <c r="O26" s="209">
        <f>SUM(L26:N26)</f>
        <v>9.4</v>
      </c>
      <c r="P26" s="320">
        <v>44531</v>
      </c>
    </row>
    <row r="27" spans="1:30" x14ac:dyDescent="0.25">
      <c r="A27" s="300" t="s">
        <v>132</v>
      </c>
      <c r="D27" s="323">
        <f>D16</f>
        <v>0</v>
      </c>
      <c r="E27" s="338" t="s">
        <v>41</v>
      </c>
      <c r="F27" s="337" t="s">
        <v>8</v>
      </c>
      <c r="G27" s="84"/>
      <c r="H27" s="86"/>
      <c r="I27" s="86"/>
      <c r="J27" s="84"/>
      <c r="K27" s="336" t="s">
        <v>42</v>
      </c>
      <c r="L27" s="87"/>
      <c r="M27" s="356"/>
      <c r="N27" s="87"/>
      <c r="O27" s="209"/>
      <c r="P27" s="320"/>
    </row>
    <row r="28" spans="1:30" x14ac:dyDescent="0.25">
      <c r="A28" s="300" t="s">
        <v>33</v>
      </c>
      <c r="D28" s="349">
        <f>ROUND(MAX(D14,D15,('Customer Info'!B14-100)*0.6,('Customer Info'!B16-100)*0.6),1)</f>
        <v>0</v>
      </c>
      <c r="E28" s="355" t="s">
        <v>45</v>
      </c>
      <c r="F28" s="309" t="s">
        <v>8</v>
      </c>
      <c r="G28" s="85"/>
      <c r="H28" s="85"/>
      <c r="I28" s="85">
        <v>7.01</v>
      </c>
      <c r="J28" s="85">
        <f>SUM(G28:I28)</f>
        <v>7.01</v>
      </c>
      <c r="K28" s="313" t="s">
        <v>44</v>
      </c>
      <c r="L28" s="87"/>
      <c r="M28" s="87"/>
      <c r="N28" s="87">
        <f>ROUND($D28*I28,2)</f>
        <v>0</v>
      </c>
      <c r="O28" s="209">
        <f>SUM(L28:N28)</f>
        <v>0</v>
      </c>
      <c r="P28" s="320">
        <v>44531</v>
      </c>
    </row>
    <row r="29" spans="1:30" x14ac:dyDescent="0.25">
      <c r="A29" s="300" t="s">
        <v>272</v>
      </c>
      <c r="D29" s="349">
        <f>IF(D18&lt;=100,0,ROUND(IF(D18-D19&gt;0,D18-D19),1))</f>
        <v>0</v>
      </c>
      <c r="E29" s="355" t="s">
        <v>270</v>
      </c>
      <c r="F29" s="309" t="s">
        <v>8</v>
      </c>
      <c r="G29" s="116"/>
      <c r="H29" s="85"/>
      <c r="I29" s="85">
        <v>1.25</v>
      </c>
      <c r="J29" s="116">
        <f>SUM(G29:I29)</f>
        <v>1.25</v>
      </c>
      <c r="K29" s="313" t="s">
        <v>44</v>
      </c>
      <c r="L29" s="87"/>
      <c r="M29" s="87"/>
      <c r="N29" s="87">
        <f>ROUND($D29*I29,2)</f>
        <v>0</v>
      </c>
      <c r="O29" s="87">
        <f>SUM(L29:N29)</f>
        <v>0</v>
      </c>
      <c r="P29" s="320">
        <v>44531</v>
      </c>
    </row>
    <row r="30" spans="1:30" ht="13" x14ac:dyDescent="0.3">
      <c r="A30" s="304" t="s">
        <v>50</v>
      </c>
      <c r="B30" s="304"/>
      <c r="C30" s="304"/>
      <c r="D30" s="354"/>
      <c r="E30" s="354"/>
      <c r="F30" s="304"/>
      <c r="G30" s="304"/>
      <c r="H30" s="304"/>
      <c r="I30" s="304"/>
      <c r="J30" s="304"/>
      <c r="K30" s="353"/>
      <c r="L30" s="40"/>
      <c r="M30" s="40"/>
      <c r="N30" s="40">
        <f>SUM(N26:N29)</f>
        <v>9.4</v>
      </c>
      <c r="O30" s="40">
        <f>SUM(O26:O29)</f>
        <v>9.4</v>
      </c>
    </row>
    <row r="31" spans="1:30" ht="13" x14ac:dyDescent="0.3">
      <c r="A31" s="350"/>
      <c r="B31" s="350"/>
      <c r="C31" s="352"/>
      <c r="D31" s="352"/>
      <c r="E31" s="352"/>
      <c r="F31" s="352"/>
      <c r="G31" s="351"/>
      <c r="H31" s="351"/>
      <c r="I31" s="351"/>
      <c r="J31" s="351"/>
      <c r="K31" s="350"/>
      <c r="L31" s="350"/>
      <c r="M31" s="350"/>
      <c r="N31" s="350"/>
      <c r="O31" s="350"/>
      <c r="P31" s="350"/>
    </row>
    <row r="32" spans="1:30" ht="13" x14ac:dyDescent="0.3">
      <c r="A32" s="307" t="s">
        <v>69</v>
      </c>
      <c r="D32" s="323"/>
      <c r="E32" s="323"/>
      <c r="K32" s="313"/>
      <c r="L32" s="313"/>
      <c r="M32" s="313"/>
      <c r="N32" s="313"/>
      <c r="O32" s="34"/>
      <c r="P32" s="34"/>
    </row>
    <row r="33" spans="1:220" ht="13" x14ac:dyDescent="0.3">
      <c r="A33" s="304"/>
      <c r="D33" s="323"/>
      <c r="E33" s="323"/>
      <c r="K33" s="313"/>
      <c r="L33" s="313"/>
      <c r="M33" s="313"/>
      <c r="N33" s="313"/>
      <c r="O33" s="34"/>
    </row>
    <row r="34" spans="1:220" x14ac:dyDescent="0.25">
      <c r="A34" s="316" t="s">
        <v>78</v>
      </c>
      <c r="D34" s="1">
        <f>IF($C$16&lt;0,0,IF($C$16&gt;833000,833000,$C$16))</f>
        <v>0</v>
      </c>
      <c r="E34" s="322" t="s">
        <v>41</v>
      </c>
      <c r="F34" s="309" t="s">
        <v>8</v>
      </c>
      <c r="G34" s="83"/>
      <c r="H34" s="84"/>
      <c r="I34" s="103">
        <f>'Rider Rates'!$B$4</f>
        <v>5.9216E-3</v>
      </c>
      <c r="J34" s="6">
        <f>SUM(G34:I34)</f>
        <v>5.9216E-3</v>
      </c>
      <c r="K34" s="313" t="s">
        <v>42</v>
      </c>
      <c r="L34" s="87"/>
      <c r="M34" s="87"/>
      <c r="N34" s="87">
        <f>ROUND($D34*I34,2)</f>
        <v>0</v>
      </c>
      <c r="O34" s="87">
        <f t="shared" ref="O34:O50" si="0">SUM(L34:N34)</f>
        <v>0</v>
      </c>
      <c r="P34" s="245">
        <f>'Rider Rates'!$D$4</f>
        <v>45293</v>
      </c>
    </row>
    <row r="35" spans="1:220" x14ac:dyDescent="0.25">
      <c r="A35" s="316" t="s">
        <v>79</v>
      </c>
      <c r="D35" s="1">
        <f>IF($C$16-833000&gt;0,$C$16-D34,0)</f>
        <v>0</v>
      </c>
      <c r="E35" s="322" t="s">
        <v>41</v>
      </c>
      <c r="F35" s="309" t="s">
        <v>8</v>
      </c>
      <c r="G35" s="83"/>
      <c r="H35" s="84"/>
      <c r="I35" s="103">
        <f>'Rider Rates'!$B$5</f>
        <v>1.7560000000000001E-4</v>
      </c>
      <c r="J35" s="118">
        <f>SUM(G35:I35)</f>
        <v>1.7560000000000001E-4</v>
      </c>
      <c r="K35" s="313" t="s">
        <v>42</v>
      </c>
      <c r="L35" s="87"/>
      <c r="M35" s="87"/>
      <c r="N35" s="87">
        <f>ROUND($D35*I35,2)</f>
        <v>0</v>
      </c>
      <c r="O35" s="87">
        <f t="shared" si="0"/>
        <v>0</v>
      </c>
      <c r="P35" s="245">
        <f>'Rider Rates'!$D$4</f>
        <v>45293</v>
      </c>
    </row>
    <row r="36" spans="1:220" x14ac:dyDescent="0.25">
      <c r="A36" s="316" t="s">
        <v>47</v>
      </c>
      <c r="B36" s="300" t="s">
        <v>15</v>
      </c>
      <c r="D36" s="1">
        <f>IF('Customer Info'!$C$32=TRUE,0,IF(C16&lt;0,0,IF(C16&gt;2000,2000,C16)))</f>
        <v>0</v>
      </c>
      <c r="E36" s="322" t="s">
        <v>41</v>
      </c>
      <c r="F36" s="309" t="s">
        <v>8</v>
      </c>
      <c r="G36" s="83"/>
      <c r="H36" s="84"/>
      <c r="I36" s="177">
        <f>'Rider Rates'!$B$8</f>
        <v>4.6499999999999996E-3</v>
      </c>
      <c r="J36" s="117">
        <f>SUM(G36:I36)</f>
        <v>4.6499999999999996E-3</v>
      </c>
      <c r="K36" s="313" t="s">
        <v>42</v>
      </c>
      <c r="L36" s="87"/>
      <c r="M36" s="87"/>
      <c r="N36" s="87">
        <f>ROUND($D36*I36,2)</f>
        <v>0</v>
      </c>
      <c r="O36" s="87">
        <f t="shared" si="0"/>
        <v>0</v>
      </c>
      <c r="P36" s="245">
        <f>'Rider Rates'!$D$7</f>
        <v>44531</v>
      </c>
    </row>
    <row r="37" spans="1:220" x14ac:dyDescent="0.25">
      <c r="A37" s="316" t="s">
        <v>48</v>
      </c>
      <c r="B37" s="300" t="s">
        <v>15</v>
      </c>
      <c r="D37" s="1">
        <f>IF('Customer Info'!$C$32=TRUE,0,IF(C16&gt;15000,13000,IF(C16&gt;2000,C16-2000,0)))</f>
        <v>0</v>
      </c>
      <c r="E37" s="322" t="s">
        <v>41</v>
      </c>
      <c r="F37" s="309" t="s">
        <v>8</v>
      </c>
      <c r="G37" s="83"/>
      <c r="H37" s="84"/>
      <c r="I37" s="177">
        <f>'Rider Rates'!$B$9</f>
        <v>4.1900000000000001E-3</v>
      </c>
      <c r="J37" s="117">
        <f>SUM(G37:I37)</f>
        <v>4.1900000000000001E-3</v>
      </c>
      <c r="K37" s="313" t="s">
        <v>42</v>
      </c>
      <c r="L37" s="87"/>
      <c r="M37" s="87"/>
      <c r="N37" s="87">
        <f>ROUND($D37*I37,2)</f>
        <v>0</v>
      </c>
      <c r="O37" s="87">
        <f t="shared" si="0"/>
        <v>0</v>
      </c>
      <c r="P37" s="245">
        <f>'Rider Rates'!$D$7</f>
        <v>44531</v>
      </c>
    </row>
    <row r="38" spans="1:220" x14ac:dyDescent="0.25">
      <c r="A38" s="316" t="s">
        <v>49</v>
      </c>
      <c r="B38" s="300" t="s">
        <v>15</v>
      </c>
      <c r="D38" s="1">
        <f>IF('Customer Info'!$C$32=TRUE,0,IF(C16-D36-D37&gt;0,C16-D36-D37,0))</f>
        <v>0</v>
      </c>
      <c r="E38" s="322" t="s">
        <v>41</v>
      </c>
      <c r="F38" s="309" t="s">
        <v>8</v>
      </c>
      <c r="G38" s="83"/>
      <c r="H38" s="84"/>
      <c r="I38" s="177">
        <f>'Rider Rates'!$B$10</f>
        <v>3.63E-3</v>
      </c>
      <c r="J38" s="117">
        <f>SUM(G38:I38)</f>
        <v>3.63E-3</v>
      </c>
      <c r="K38" s="313" t="s">
        <v>42</v>
      </c>
      <c r="L38" s="87"/>
      <c r="M38" s="87"/>
      <c r="N38" s="87">
        <f>ROUND($D38*I38,2)</f>
        <v>0</v>
      </c>
      <c r="O38" s="87">
        <f t="shared" si="0"/>
        <v>0</v>
      </c>
      <c r="P38" s="245">
        <f>'Rider Rates'!$D$7</f>
        <v>44531</v>
      </c>
    </row>
    <row r="39" spans="1:220" ht="13" x14ac:dyDescent="0.3">
      <c r="A39" s="340" t="s">
        <v>247</v>
      </c>
      <c r="B39" s="316"/>
      <c r="C39" s="316"/>
      <c r="D39" s="208">
        <f>$N$30</f>
        <v>9.4</v>
      </c>
      <c r="E39" s="338" t="s">
        <v>121</v>
      </c>
      <c r="F39" s="337" t="s">
        <v>8</v>
      </c>
      <c r="G39" s="103"/>
      <c r="H39" s="103"/>
      <c r="I39" s="178">
        <f>'Rider Rates'!$B$18+'Rider Rates'!$E$18</f>
        <v>0</v>
      </c>
      <c r="J39" s="345">
        <f>SUM(H39:I39)</f>
        <v>0</v>
      </c>
      <c r="K39" s="336"/>
      <c r="L39" s="105"/>
      <c r="M39" s="105"/>
      <c r="N39" s="105">
        <v>0</v>
      </c>
      <c r="O39" s="105">
        <f t="shared" si="0"/>
        <v>0</v>
      </c>
      <c r="P39" s="245">
        <f>MAX('Rider Rates'!$D$18,'Rider Rates'!$F$18)</f>
        <v>44531</v>
      </c>
    </row>
    <row r="40" spans="1:220" x14ac:dyDescent="0.25">
      <c r="A40" s="340" t="s">
        <v>195</v>
      </c>
      <c r="B40" s="316"/>
      <c r="C40" s="316"/>
      <c r="D40" s="100">
        <f>'Customer Info'!$B$21+'Customer Info'!$B$22-'Customer Info'!$B$23</f>
        <v>0</v>
      </c>
      <c r="E40" s="338" t="s">
        <v>41</v>
      </c>
      <c r="F40" s="337" t="s">
        <v>8</v>
      </c>
      <c r="G40" s="103">
        <f>'Rider Rates'!B23</f>
        <v>0.10589</v>
      </c>
      <c r="H40" s="103"/>
      <c r="I40" s="103"/>
      <c r="J40" s="341">
        <f>SUM(G40:H40)</f>
        <v>0.10589</v>
      </c>
      <c r="K40" s="336" t="s">
        <v>42</v>
      </c>
      <c r="L40" s="105">
        <f>ROUND(D40*G40,2)</f>
        <v>0</v>
      </c>
      <c r="M40" s="105"/>
      <c r="N40" s="105"/>
      <c r="O40" s="105">
        <f t="shared" si="0"/>
        <v>0</v>
      </c>
      <c r="P40" s="245">
        <f>'Rider Rates'!$D$23</f>
        <v>45078</v>
      </c>
    </row>
    <row r="41" spans="1:220" x14ac:dyDescent="0.25">
      <c r="A41" s="340" t="s">
        <v>162</v>
      </c>
      <c r="B41" s="316"/>
      <c r="C41" s="316"/>
      <c r="D41" s="100">
        <f>'Customer Info'!$B$21+'Customer Info'!$B$22-'Customer Info'!$B$23</f>
        <v>0</v>
      </c>
      <c r="E41" s="338" t="s">
        <v>41</v>
      </c>
      <c r="F41" s="337" t="s">
        <v>8</v>
      </c>
      <c r="G41" s="103">
        <f>'Rider Rates'!B37</f>
        <v>3.0899999999999999E-3</v>
      </c>
      <c r="H41" s="103"/>
      <c r="I41" s="103"/>
      <c r="J41" s="341">
        <f>SUM(G41:H41)</f>
        <v>3.0899999999999999E-3</v>
      </c>
      <c r="K41" s="336" t="s">
        <v>42</v>
      </c>
      <c r="L41" s="105">
        <f>ROUND(D41*G41,2)</f>
        <v>0</v>
      </c>
      <c r="M41" s="105"/>
      <c r="N41" s="105"/>
      <c r="O41" s="105">
        <f t="shared" si="0"/>
        <v>0</v>
      </c>
      <c r="P41" s="245">
        <f>'Rider Rates'!$D$42</f>
        <v>45078</v>
      </c>
    </row>
    <row r="42" spans="1:220" x14ac:dyDescent="0.25">
      <c r="A42" s="340" t="s">
        <v>202</v>
      </c>
      <c r="B42" s="316"/>
      <c r="C42" s="316"/>
      <c r="D42" s="100">
        <f>'Customer Info'!$B$21+'Customer Info'!$B$22-'Customer Info'!$B$23</f>
        <v>0</v>
      </c>
      <c r="E42" s="338" t="s">
        <v>41</v>
      </c>
      <c r="F42" s="337" t="s">
        <v>8</v>
      </c>
      <c r="G42" s="103">
        <f>'Rider Rates'!$B$46</f>
        <v>-4.8640000000000001E-4</v>
      </c>
      <c r="H42" s="103"/>
      <c r="I42" s="103"/>
      <c r="J42" s="341">
        <f>SUM(G42:H42)</f>
        <v>-4.8640000000000001E-4</v>
      </c>
      <c r="K42" s="336" t="s">
        <v>42</v>
      </c>
      <c r="L42" s="105">
        <f>ROUND(D42*G42,2)</f>
        <v>0</v>
      </c>
      <c r="M42" s="105"/>
      <c r="N42" s="105"/>
      <c r="O42" s="105">
        <f t="shared" si="0"/>
        <v>0</v>
      </c>
      <c r="P42" s="245">
        <f>'Rider Rates'!$D$46</f>
        <v>45383</v>
      </c>
    </row>
    <row r="43" spans="1:220" x14ac:dyDescent="0.25">
      <c r="A43" s="340" t="s">
        <v>220</v>
      </c>
      <c r="B43" s="316"/>
      <c r="C43" s="316"/>
      <c r="D43" s="1">
        <f>IF($C$16&lt;0,0,IF($C$16&gt;833000,833000,$C$16))</f>
        <v>0</v>
      </c>
      <c r="E43" s="338" t="s">
        <v>41</v>
      </c>
      <c r="F43" s="337" t="s">
        <v>8</v>
      </c>
      <c r="G43" s="103"/>
      <c r="H43" s="103"/>
      <c r="I43" s="103">
        <f>'Rider Rates'!D50</f>
        <v>1.7826999999999999E-3</v>
      </c>
      <c r="J43" s="103">
        <f>SUM(G43:I43)</f>
        <v>1.7826999999999999E-3</v>
      </c>
      <c r="K43" s="336" t="s">
        <v>42</v>
      </c>
      <c r="L43" s="105"/>
      <c r="M43" s="105"/>
      <c r="N43" s="87">
        <f>D43*J43</f>
        <v>0</v>
      </c>
      <c r="O43" s="105">
        <f t="shared" si="0"/>
        <v>0</v>
      </c>
      <c r="P43" s="245">
        <f>'Rider Rates'!E50</f>
        <v>45292</v>
      </c>
    </row>
    <row r="44" spans="1:220" x14ac:dyDescent="0.25">
      <c r="A44" s="340" t="s">
        <v>198</v>
      </c>
      <c r="B44" s="316"/>
      <c r="C44" s="316"/>
      <c r="D44" s="1">
        <f>IF($C$16&lt;0,0,$C$16)</f>
        <v>0</v>
      </c>
      <c r="E44" s="347" t="s">
        <v>41</v>
      </c>
      <c r="F44" s="337" t="s">
        <v>8</v>
      </c>
      <c r="G44" s="103"/>
      <c r="H44" s="103">
        <f>'Rider Rates'!$B$58</f>
        <v>6.0079999999999997E-4</v>
      </c>
      <c r="I44" s="103"/>
      <c r="J44" s="103">
        <f>SUM(G44:I44)</f>
        <v>6.0079999999999997E-4</v>
      </c>
      <c r="K44" s="336" t="s">
        <v>42</v>
      </c>
      <c r="L44" s="105"/>
      <c r="M44" s="105">
        <f>ROUND(D44*H44,2)</f>
        <v>0</v>
      </c>
      <c r="N44" s="205"/>
      <c r="O44" s="105">
        <f t="shared" si="0"/>
        <v>0</v>
      </c>
      <c r="P44" s="245">
        <f>'Rider Rates'!$D$58</f>
        <v>45383</v>
      </c>
    </row>
    <row r="45" spans="1:220" x14ac:dyDescent="0.25">
      <c r="A45" s="340" t="s">
        <v>198</v>
      </c>
      <c r="B45" s="316"/>
      <c r="C45" s="316"/>
      <c r="D45" s="49">
        <f>D28</f>
        <v>0</v>
      </c>
      <c r="E45" s="322" t="s">
        <v>63</v>
      </c>
      <c r="F45" s="309" t="s">
        <v>8</v>
      </c>
      <c r="G45" s="103"/>
      <c r="H45" s="239">
        <f>'Rider Rates'!$B$63</f>
        <v>6.73</v>
      </c>
      <c r="I45" s="103"/>
      <c r="J45" s="239">
        <f>SUM(G45:I45)</f>
        <v>6.73</v>
      </c>
      <c r="K45" s="336" t="s">
        <v>44</v>
      </c>
      <c r="L45" s="105"/>
      <c r="M45" s="105">
        <f>ROUND(D45*H45,2)</f>
        <v>0</v>
      </c>
      <c r="N45" s="205"/>
      <c r="O45" s="105">
        <f t="shared" si="0"/>
        <v>0</v>
      </c>
      <c r="P45" s="245">
        <f>'Rider Rates'!$D$63</f>
        <v>45383</v>
      </c>
    </row>
    <row r="46" spans="1:220" x14ac:dyDescent="0.25">
      <c r="A46" s="340" t="s">
        <v>82</v>
      </c>
      <c r="B46" s="316"/>
      <c r="C46" s="316"/>
      <c r="D46" s="1">
        <f>IF('Customer Info'!C34=TRUE,0,IF($C$16&lt;0,0,$C$16))</f>
        <v>0</v>
      </c>
      <c r="E46" s="338" t="s">
        <v>41</v>
      </c>
      <c r="F46" s="337" t="s">
        <v>8</v>
      </c>
      <c r="G46" s="103"/>
      <c r="H46" s="103"/>
      <c r="I46" s="103">
        <f>'Rider Rates'!$B$70+'Rider Rates'!$C$70</f>
        <v>0</v>
      </c>
      <c r="J46" s="103">
        <f>SUM(G46:I46)</f>
        <v>0</v>
      </c>
      <c r="K46" s="336" t="s">
        <v>42</v>
      </c>
      <c r="L46" s="105"/>
      <c r="M46" s="105"/>
      <c r="N46" s="87">
        <v>0</v>
      </c>
      <c r="O46" s="209">
        <f t="shared" si="0"/>
        <v>0</v>
      </c>
      <c r="P46" s="245">
        <f>'Rider Rates'!$D$70</f>
        <v>44531</v>
      </c>
      <c r="Q46" s="107"/>
      <c r="R46" s="333"/>
      <c r="S46" s="109"/>
      <c r="T46" s="316"/>
      <c r="U46" s="332"/>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316"/>
      <c r="EV46" s="316"/>
      <c r="EW46" s="316"/>
      <c r="EX46" s="316"/>
      <c r="EY46" s="316"/>
      <c r="EZ46" s="316"/>
      <c r="FA46" s="316"/>
      <c r="FB46" s="316"/>
      <c r="FC46" s="316"/>
      <c r="FD46" s="316"/>
      <c r="FE46" s="316"/>
      <c r="FF46" s="316"/>
      <c r="FG46" s="316"/>
      <c r="FH46" s="316"/>
      <c r="FI46" s="316"/>
      <c r="FJ46" s="316"/>
      <c r="FK46" s="316"/>
      <c r="FL46" s="316"/>
      <c r="FM46" s="316"/>
      <c r="FN46" s="316"/>
      <c r="FO46" s="316"/>
      <c r="FP46" s="316"/>
      <c r="FQ46" s="316"/>
      <c r="FR46" s="316"/>
      <c r="FS46" s="316"/>
      <c r="FT46" s="316"/>
      <c r="FU46" s="316"/>
      <c r="FV46" s="316"/>
      <c r="FW46" s="316"/>
      <c r="FX46" s="316"/>
      <c r="FY46" s="316"/>
      <c r="FZ46" s="316"/>
      <c r="GA46" s="316"/>
      <c r="GB46" s="316"/>
      <c r="GC46" s="316"/>
      <c r="GD46" s="316"/>
      <c r="GE46" s="316"/>
      <c r="GF46" s="316"/>
      <c r="GG46" s="316"/>
      <c r="GH46" s="316"/>
      <c r="GI46" s="316"/>
      <c r="GJ46" s="316"/>
      <c r="GK46" s="316"/>
      <c r="GL46" s="316"/>
      <c r="GM46" s="316"/>
      <c r="GN46" s="316"/>
      <c r="GO46" s="316"/>
      <c r="GP46" s="316"/>
      <c r="GQ46" s="316"/>
      <c r="GR46" s="316"/>
      <c r="GS46" s="316"/>
      <c r="GT46" s="316"/>
      <c r="GU46" s="316"/>
      <c r="GV46" s="316"/>
      <c r="GW46" s="316"/>
      <c r="GX46" s="316"/>
      <c r="GY46" s="316"/>
      <c r="GZ46" s="316"/>
      <c r="HA46" s="316"/>
      <c r="HB46" s="316"/>
      <c r="HC46" s="316"/>
      <c r="HD46" s="316"/>
      <c r="HE46" s="316"/>
      <c r="HF46" s="316"/>
      <c r="HG46" s="316"/>
      <c r="HH46" s="316"/>
      <c r="HI46" s="316"/>
      <c r="HJ46" s="316"/>
      <c r="HK46" s="316"/>
      <c r="HL46" s="316"/>
    </row>
    <row r="47" spans="1:220" x14ac:dyDescent="0.25">
      <c r="A47" s="340" t="s">
        <v>82</v>
      </c>
      <c r="B47" s="316"/>
      <c r="C47" s="316"/>
      <c r="D47" s="49">
        <f>IF('Customer Info'!C34=TRUE,0,$D$28)</f>
        <v>0</v>
      </c>
      <c r="E47" s="338" t="s">
        <v>45</v>
      </c>
      <c r="F47" s="337" t="s">
        <v>8</v>
      </c>
      <c r="G47" s="103"/>
      <c r="H47" s="103"/>
      <c r="I47" s="239">
        <f>'Rider Rates'!$B$80</f>
        <v>0</v>
      </c>
      <c r="J47" s="239">
        <f>SUM(G47:I47)</f>
        <v>0</v>
      </c>
      <c r="K47" s="336" t="s">
        <v>42</v>
      </c>
      <c r="L47" s="105"/>
      <c r="M47" s="105"/>
      <c r="N47" s="87">
        <f>ROUND($D47*I47,2)</f>
        <v>0</v>
      </c>
      <c r="O47" s="209">
        <f t="shared" si="0"/>
        <v>0</v>
      </c>
      <c r="P47" s="245">
        <f>'Rider Rates'!$D$80</f>
        <v>44531</v>
      </c>
      <c r="Q47" s="107"/>
      <c r="R47" s="333"/>
      <c r="S47" s="109"/>
      <c r="T47" s="316"/>
      <c r="U47" s="332"/>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6"/>
      <c r="BX47" s="316"/>
      <c r="BY47" s="316"/>
      <c r="BZ47" s="316"/>
      <c r="CA47" s="316"/>
      <c r="CB47" s="316"/>
      <c r="CC47" s="316"/>
      <c r="CD47" s="316"/>
      <c r="CE47" s="316"/>
      <c r="CF47" s="316"/>
      <c r="CG47" s="316"/>
      <c r="CH47" s="316"/>
      <c r="CI47" s="316"/>
      <c r="CJ47" s="316"/>
      <c r="CK47" s="316"/>
      <c r="CL47" s="316"/>
      <c r="CM47" s="316"/>
      <c r="CN47" s="316"/>
      <c r="CO47" s="316"/>
      <c r="CP47" s="316"/>
      <c r="CQ47" s="316"/>
      <c r="CR47" s="316"/>
      <c r="CS47" s="316"/>
      <c r="CT47" s="316"/>
      <c r="CU47" s="316"/>
      <c r="CV47" s="316"/>
      <c r="CW47" s="316"/>
      <c r="CX47" s="316"/>
      <c r="CY47" s="316"/>
      <c r="CZ47" s="316"/>
      <c r="DA47" s="316"/>
      <c r="DB47" s="316"/>
      <c r="DC47" s="316"/>
      <c r="DD47" s="316"/>
      <c r="DE47" s="316"/>
      <c r="DF47" s="316"/>
      <c r="DG47" s="316"/>
      <c r="DH47" s="316"/>
      <c r="DI47" s="316"/>
      <c r="DJ47" s="316"/>
      <c r="DK47" s="316"/>
      <c r="DL47" s="316"/>
      <c r="DM47" s="316"/>
      <c r="DN47" s="316"/>
      <c r="DO47" s="316"/>
      <c r="DP47" s="316"/>
      <c r="DQ47" s="316"/>
      <c r="DR47" s="316"/>
      <c r="DS47" s="316"/>
      <c r="DT47" s="316"/>
      <c r="DU47" s="316"/>
      <c r="DV47" s="316"/>
      <c r="DW47" s="316"/>
      <c r="DX47" s="316"/>
      <c r="DY47" s="316"/>
      <c r="DZ47" s="316"/>
      <c r="EA47" s="316"/>
      <c r="EB47" s="316"/>
      <c r="EC47" s="316"/>
      <c r="ED47" s="316"/>
      <c r="EE47" s="316"/>
      <c r="EF47" s="316"/>
      <c r="EG47" s="316"/>
      <c r="EH47" s="316"/>
      <c r="EI47" s="316"/>
      <c r="EJ47" s="316"/>
      <c r="EK47" s="316"/>
      <c r="EL47" s="316"/>
      <c r="EM47" s="316"/>
      <c r="EN47" s="316"/>
      <c r="EO47" s="316"/>
      <c r="EP47" s="316"/>
      <c r="EQ47" s="316"/>
      <c r="ER47" s="316"/>
      <c r="ES47" s="316"/>
      <c r="ET47" s="316"/>
      <c r="EU47" s="316"/>
      <c r="EV47" s="316"/>
      <c r="EW47" s="316"/>
      <c r="EX47" s="316"/>
      <c r="EY47" s="316"/>
      <c r="EZ47" s="316"/>
      <c r="FA47" s="316"/>
      <c r="FB47" s="316"/>
      <c r="FC47" s="316"/>
      <c r="FD47" s="316"/>
      <c r="FE47" s="316"/>
      <c r="FF47" s="316"/>
      <c r="FG47" s="316"/>
      <c r="FH47" s="316"/>
      <c r="FI47" s="316"/>
      <c r="FJ47" s="316"/>
      <c r="FK47" s="316"/>
      <c r="FL47" s="316"/>
      <c r="FM47" s="316"/>
      <c r="FN47" s="316"/>
      <c r="FO47" s="316"/>
      <c r="FP47" s="316"/>
      <c r="FQ47" s="316"/>
      <c r="FR47" s="316"/>
      <c r="FS47" s="316"/>
      <c r="FT47" s="316"/>
      <c r="FU47" s="316"/>
      <c r="FV47" s="316"/>
      <c r="FW47" s="316"/>
      <c r="FX47" s="316"/>
      <c r="FY47" s="316"/>
      <c r="FZ47" s="316"/>
      <c r="GA47" s="316"/>
      <c r="GB47" s="316"/>
      <c r="GC47" s="316"/>
      <c r="GD47" s="316"/>
      <c r="GE47" s="316"/>
      <c r="GF47" s="316"/>
      <c r="GG47" s="316"/>
      <c r="GH47" s="316"/>
      <c r="GI47" s="316"/>
      <c r="GJ47" s="316"/>
      <c r="GK47" s="316"/>
      <c r="GL47" s="316"/>
      <c r="GM47" s="316"/>
      <c r="GN47" s="316"/>
      <c r="GO47" s="316"/>
      <c r="GP47" s="316"/>
      <c r="GQ47" s="316"/>
      <c r="GR47" s="316"/>
      <c r="GS47" s="316"/>
      <c r="GT47" s="316"/>
      <c r="GU47" s="316"/>
      <c r="GV47" s="316"/>
      <c r="GW47" s="316"/>
      <c r="GX47" s="316"/>
      <c r="GY47" s="316"/>
      <c r="GZ47" s="316"/>
      <c r="HA47" s="316"/>
      <c r="HB47" s="316"/>
      <c r="HC47" s="316"/>
      <c r="HD47" s="316"/>
      <c r="HE47" s="316"/>
      <c r="HF47" s="316"/>
      <c r="HG47" s="316"/>
      <c r="HH47" s="316"/>
      <c r="HI47" s="316"/>
      <c r="HJ47" s="316"/>
      <c r="HK47" s="316"/>
      <c r="HL47" s="316"/>
    </row>
    <row r="48" spans="1:220" ht="13" x14ac:dyDescent="0.3">
      <c r="A48" s="340" t="s">
        <v>80</v>
      </c>
      <c r="B48" s="316"/>
      <c r="C48" s="316"/>
      <c r="D48" s="208">
        <f>$N$30</f>
        <v>9.4</v>
      </c>
      <c r="E48" s="338" t="s">
        <v>121</v>
      </c>
      <c r="F48" s="337" t="s">
        <v>8</v>
      </c>
      <c r="G48" s="111"/>
      <c r="H48" s="112"/>
      <c r="I48" s="120">
        <f>'Rider Rates'!$B$84</f>
        <v>2.9347000000000002E-2</v>
      </c>
      <c r="J48" s="345">
        <f>SUM(H48:I48)</f>
        <v>2.9347000000000002E-2</v>
      </c>
      <c r="K48" s="336"/>
      <c r="L48" s="105"/>
      <c r="M48" s="105"/>
      <c r="N48" s="105">
        <f>ROUND(N$30*I48,2)</f>
        <v>0.28000000000000003</v>
      </c>
      <c r="O48" s="209">
        <f t="shared" si="0"/>
        <v>0.28000000000000003</v>
      </c>
      <c r="P48" s="245">
        <f>'Rider Rates'!$D$84</f>
        <v>45383</v>
      </c>
      <c r="Q48" s="107"/>
      <c r="R48" s="333"/>
      <c r="S48" s="109"/>
      <c r="T48" s="316"/>
      <c r="U48" s="332"/>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316"/>
      <c r="CN48" s="316"/>
      <c r="CO48" s="316"/>
      <c r="CP48" s="316"/>
      <c r="CQ48" s="316"/>
      <c r="CR48" s="316"/>
      <c r="CS48" s="316"/>
      <c r="CT48" s="316"/>
      <c r="CU48" s="316"/>
      <c r="CV48" s="316"/>
      <c r="CW48" s="316"/>
      <c r="CX48" s="316"/>
      <c r="CY48" s="316"/>
      <c r="CZ48" s="316"/>
      <c r="DA48" s="316"/>
      <c r="DB48" s="316"/>
      <c r="DC48" s="316"/>
      <c r="DD48" s="316"/>
      <c r="DE48" s="316"/>
      <c r="DF48" s="316"/>
      <c r="DG48" s="316"/>
      <c r="DH48" s="316"/>
      <c r="DI48" s="316"/>
      <c r="DJ48" s="316"/>
      <c r="DK48" s="316"/>
      <c r="DL48" s="316"/>
      <c r="DM48" s="316"/>
      <c r="DN48" s="316"/>
      <c r="DO48" s="316"/>
      <c r="DP48" s="316"/>
      <c r="DQ48" s="316"/>
      <c r="DR48" s="316"/>
      <c r="DS48" s="316"/>
      <c r="DT48" s="316"/>
      <c r="DU48" s="316"/>
      <c r="DV48" s="316"/>
      <c r="DW48" s="316"/>
      <c r="DX48" s="316"/>
      <c r="DY48" s="316"/>
      <c r="DZ48" s="316"/>
      <c r="EA48" s="316"/>
      <c r="EB48" s="316"/>
      <c r="EC48" s="316"/>
      <c r="ED48" s="316"/>
      <c r="EE48" s="316"/>
      <c r="EF48" s="316"/>
      <c r="EG48" s="316"/>
      <c r="EH48" s="316"/>
      <c r="EI48" s="316"/>
      <c r="EJ48" s="316"/>
      <c r="EK48" s="316"/>
      <c r="EL48" s="316"/>
      <c r="EM48" s="316"/>
      <c r="EN48" s="316"/>
      <c r="EO48" s="316"/>
      <c r="EP48" s="316"/>
      <c r="EQ48" s="316"/>
      <c r="ER48" s="316"/>
      <c r="ES48" s="316"/>
      <c r="ET48" s="316"/>
      <c r="EU48" s="316"/>
      <c r="EV48" s="316"/>
      <c r="EW48" s="316"/>
      <c r="EX48" s="316"/>
      <c r="EY48" s="316"/>
      <c r="EZ48" s="316"/>
      <c r="FA48" s="316"/>
      <c r="FB48" s="316"/>
      <c r="FC48" s="316"/>
      <c r="FD48" s="316"/>
      <c r="FE48" s="316"/>
      <c r="FF48" s="316"/>
      <c r="FG48" s="316"/>
      <c r="FH48" s="316"/>
      <c r="FI48" s="316"/>
      <c r="FJ48" s="316"/>
      <c r="FK48" s="316"/>
      <c r="FL48" s="316"/>
      <c r="FM48" s="316"/>
      <c r="FN48" s="316"/>
      <c r="FO48" s="316"/>
      <c r="FP48" s="316"/>
      <c r="FQ48" s="316"/>
      <c r="FR48" s="316"/>
      <c r="FS48" s="316"/>
      <c r="FT48" s="316"/>
      <c r="FU48" s="316"/>
      <c r="FV48" s="316"/>
      <c r="FW48" s="316"/>
      <c r="FX48" s="316"/>
      <c r="FY48" s="316"/>
      <c r="FZ48" s="316"/>
      <c r="GA48" s="316"/>
      <c r="GB48" s="316"/>
      <c r="GC48" s="316"/>
      <c r="GD48" s="316"/>
      <c r="GE48" s="316"/>
      <c r="GF48" s="316"/>
      <c r="GG48" s="316"/>
      <c r="GH48" s="316"/>
      <c r="GI48" s="316"/>
      <c r="GJ48" s="316"/>
      <c r="GK48" s="316"/>
      <c r="GL48" s="316"/>
      <c r="GM48" s="316"/>
      <c r="GN48" s="316"/>
      <c r="GO48" s="316"/>
      <c r="GP48" s="316"/>
      <c r="GQ48" s="316"/>
      <c r="GR48" s="316"/>
      <c r="GS48" s="316"/>
      <c r="GT48" s="316"/>
      <c r="GU48" s="316"/>
      <c r="GV48" s="316"/>
      <c r="GW48" s="316"/>
      <c r="GX48" s="316"/>
      <c r="GY48" s="316"/>
      <c r="GZ48" s="316"/>
      <c r="HA48" s="316"/>
      <c r="HB48" s="316"/>
      <c r="HC48" s="316"/>
      <c r="HD48" s="316"/>
      <c r="HE48" s="316"/>
      <c r="HF48" s="316"/>
      <c r="HG48" s="316"/>
      <c r="HH48" s="316"/>
      <c r="HI48" s="316"/>
      <c r="HJ48" s="316"/>
      <c r="HK48" s="316"/>
      <c r="HL48" s="316"/>
    </row>
    <row r="49" spans="1:221" ht="13" x14ac:dyDescent="0.3">
      <c r="A49" s="340" t="s">
        <v>81</v>
      </c>
      <c r="B49" s="316"/>
      <c r="C49" s="316"/>
      <c r="D49" s="208">
        <f>$N$30</f>
        <v>9.4</v>
      </c>
      <c r="E49" s="338" t="s">
        <v>121</v>
      </c>
      <c r="F49" s="337" t="s">
        <v>8</v>
      </c>
      <c r="G49" s="114"/>
      <c r="H49" s="115"/>
      <c r="I49" s="120">
        <f>'Rider Rates'!$B$86</f>
        <v>6.6985699999999995E-2</v>
      </c>
      <c r="J49" s="345">
        <f>SUM(H49:I49)</f>
        <v>6.6985699999999995E-2</v>
      </c>
      <c r="K49" s="336"/>
      <c r="L49" s="105"/>
      <c r="M49" s="105"/>
      <c r="N49" s="105">
        <f>ROUND(N$30*I49,2)</f>
        <v>0.63</v>
      </c>
      <c r="O49" s="209">
        <f t="shared" si="0"/>
        <v>0.63</v>
      </c>
      <c r="P49" s="245">
        <f>'Rider Rates'!$D$86</f>
        <v>45167</v>
      </c>
      <c r="Q49" s="107"/>
      <c r="R49" s="333"/>
      <c r="S49" s="109"/>
      <c r="T49" s="316"/>
      <c r="U49" s="332"/>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16"/>
      <c r="CN49" s="316"/>
      <c r="CO49" s="316"/>
      <c r="CP49" s="316"/>
      <c r="CQ49" s="316"/>
      <c r="CR49" s="316"/>
      <c r="CS49" s="316"/>
      <c r="CT49" s="316"/>
      <c r="CU49" s="316"/>
      <c r="CV49" s="316"/>
      <c r="CW49" s="316"/>
      <c r="CX49" s="316"/>
      <c r="CY49" s="316"/>
      <c r="CZ49" s="316"/>
      <c r="DA49" s="316"/>
      <c r="DB49" s="316"/>
      <c r="DC49" s="316"/>
      <c r="DD49" s="316"/>
      <c r="DE49" s="316"/>
      <c r="DF49" s="316"/>
      <c r="DG49" s="316"/>
      <c r="DH49" s="316"/>
      <c r="DI49" s="316"/>
      <c r="DJ49" s="316"/>
      <c r="DK49" s="316"/>
      <c r="DL49" s="316"/>
      <c r="DM49" s="316"/>
      <c r="DN49" s="316"/>
      <c r="DO49" s="316"/>
      <c r="DP49" s="316"/>
      <c r="DQ49" s="316"/>
      <c r="DR49" s="316"/>
      <c r="DS49" s="316"/>
      <c r="DT49" s="316"/>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316"/>
      <c r="EV49" s="316"/>
      <c r="EW49" s="316"/>
      <c r="EX49" s="316"/>
      <c r="EY49" s="316"/>
      <c r="EZ49" s="316"/>
      <c r="FA49" s="316"/>
      <c r="FB49" s="316"/>
      <c r="FC49" s="316"/>
      <c r="FD49" s="316"/>
      <c r="FE49" s="316"/>
      <c r="FF49" s="316"/>
      <c r="FG49" s="316"/>
      <c r="FH49" s="316"/>
      <c r="FI49" s="316"/>
      <c r="FJ49" s="316"/>
      <c r="FK49" s="316"/>
      <c r="FL49" s="316"/>
      <c r="FM49" s="316"/>
      <c r="FN49" s="316"/>
      <c r="FO49" s="316"/>
      <c r="FP49" s="316"/>
      <c r="FQ49" s="316"/>
      <c r="FR49" s="316"/>
      <c r="FS49" s="316"/>
      <c r="FT49" s="316"/>
      <c r="FU49" s="316"/>
      <c r="FV49" s="316"/>
      <c r="FW49" s="316"/>
      <c r="FX49" s="316"/>
      <c r="FY49" s="316"/>
      <c r="FZ49" s="316"/>
      <c r="GA49" s="316"/>
      <c r="GB49" s="316"/>
      <c r="GC49" s="316"/>
      <c r="GD49" s="316"/>
      <c r="GE49" s="316"/>
      <c r="GF49" s="316"/>
      <c r="GG49" s="316"/>
      <c r="GH49" s="316"/>
      <c r="GI49" s="316"/>
      <c r="GJ49" s="316"/>
      <c r="GK49" s="316"/>
      <c r="GL49" s="316"/>
      <c r="GM49" s="316"/>
      <c r="GN49" s="316"/>
      <c r="GO49" s="316"/>
      <c r="GP49" s="316"/>
      <c r="GQ49" s="316"/>
      <c r="GR49" s="316"/>
      <c r="GS49" s="316"/>
      <c r="GT49" s="316"/>
      <c r="GU49" s="316"/>
      <c r="GV49" s="316"/>
      <c r="GW49" s="316"/>
      <c r="GX49" s="316"/>
      <c r="GY49" s="316"/>
      <c r="GZ49" s="316"/>
      <c r="HA49" s="316"/>
      <c r="HB49" s="316"/>
      <c r="HC49" s="316"/>
      <c r="HD49" s="316"/>
      <c r="HE49" s="316"/>
      <c r="HF49" s="316"/>
      <c r="HG49" s="316"/>
      <c r="HH49" s="316"/>
      <c r="HI49" s="316"/>
      <c r="HJ49" s="316"/>
      <c r="HK49" s="316"/>
      <c r="HL49" s="316"/>
    </row>
    <row r="50" spans="1:221" ht="13" x14ac:dyDescent="0.3">
      <c r="A50" s="340" t="s">
        <v>216</v>
      </c>
      <c r="B50" s="316"/>
      <c r="C50" s="316"/>
      <c r="D50" s="195"/>
      <c r="E50" s="347" t="s">
        <v>114</v>
      </c>
      <c r="F50" s="334"/>
      <c r="G50" s="114"/>
      <c r="H50" s="115"/>
      <c r="I50" s="196">
        <f>'Rider Rates'!$B$90</f>
        <v>15.91</v>
      </c>
      <c r="J50" s="346">
        <f>SUM(G50:I50)</f>
        <v>15.91</v>
      </c>
      <c r="K50" s="336"/>
      <c r="L50" s="105"/>
      <c r="M50" s="105"/>
      <c r="N50" s="105">
        <f>I50</f>
        <v>15.91</v>
      </c>
      <c r="O50" s="105">
        <f t="shared" si="0"/>
        <v>15.91</v>
      </c>
      <c r="P50" s="245">
        <f>'Rider Rates'!$D$90</f>
        <v>45351</v>
      </c>
    </row>
    <row r="51" spans="1:221" x14ac:dyDescent="0.25">
      <c r="A51" s="340" t="s">
        <v>263</v>
      </c>
      <c r="B51" s="316"/>
      <c r="C51" s="316"/>
      <c r="D51" s="1">
        <f>$D$34</f>
        <v>0</v>
      </c>
      <c r="E51" s="338" t="s">
        <v>41</v>
      </c>
      <c r="F51" s="337" t="s">
        <v>8</v>
      </c>
      <c r="G51" s="103"/>
      <c r="H51" s="103"/>
      <c r="I51" s="103"/>
      <c r="J51" s="103">
        <v>0</v>
      </c>
      <c r="K51" s="336" t="s">
        <v>42</v>
      </c>
      <c r="L51" s="105"/>
      <c r="M51" s="105"/>
      <c r="N51" s="87"/>
      <c r="O51" s="105">
        <v>0</v>
      </c>
      <c r="P51" s="245">
        <f>'Rider Rates'!$D$95</f>
        <v>44531</v>
      </c>
      <c r="Q51" s="334"/>
      <c r="R51" s="107"/>
      <c r="S51" s="333"/>
      <c r="T51" s="109"/>
      <c r="U51" s="316"/>
      <c r="V51" s="332"/>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316"/>
      <c r="EV51" s="316"/>
      <c r="EW51" s="316"/>
      <c r="EX51" s="316"/>
      <c r="EY51" s="316"/>
      <c r="EZ51" s="316"/>
      <c r="FA51" s="316"/>
      <c r="FB51" s="316"/>
      <c r="FC51" s="316"/>
      <c r="FD51" s="316"/>
      <c r="FE51" s="316"/>
      <c r="FF51" s="316"/>
      <c r="FG51" s="316"/>
      <c r="FH51" s="316"/>
      <c r="FI51" s="316"/>
      <c r="FJ51" s="316"/>
      <c r="FK51" s="316"/>
      <c r="FL51" s="316"/>
      <c r="FM51" s="316"/>
      <c r="FN51" s="316"/>
      <c r="FO51" s="316"/>
      <c r="FP51" s="316"/>
      <c r="FQ51" s="316"/>
      <c r="FR51" s="316"/>
      <c r="FS51" s="316"/>
      <c r="FT51" s="316"/>
      <c r="FU51" s="316"/>
      <c r="FV51" s="316"/>
      <c r="FW51" s="316"/>
      <c r="FX51" s="316"/>
      <c r="FY51" s="316"/>
      <c r="FZ51" s="316"/>
      <c r="GA51" s="316"/>
      <c r="GB51" s="316"/>
      <c r="GC51" s="316"/>
      <c r="GD51" s="316"/>
      <c r="GE51" s="316"/>
      <c r="GF51" s="316"/>
      <c r="GG51" s="316"/>
      <c r="GH51" s="316"/>
      <c r="GI51" s="316"/>
      <c r="GJ51" s="316"/>
      <c r="GK51" s="316"/>
      <c r="GL51" s="316"/>
      <c r="GM51" s="316"/>
      <c r="GN51" s="316"/>
      <c r="GO51" s="316"/>
      <c r="GP51" s="316"/>
      <c r="GQ51" s="316"/>
      <c r="GR51" s="316"/>
      <c r="GS51" s="316"/>
      <c r="GT51" s="316"/>
      <c r="GU51" s="316"/>
      <c r="GV51" s="316"/>
      <c r="GW51" s="316"/>
      <c r="GX51" s="316"/>
      <c r="GY51" s="316"/>
      <c r="GZ51" s="316"/>
      <c r="HA51" s="316"/>
      <c r="HB51" s="316"/>
      <c r="HC51" s="316"/>
      <c r="HD51" s="316"/>
      <c r="HE51" s="316"/>
      <c r="HF51" s="316"/>
      <c r="HG51" s="316"/>
      <c r="HH51" s="316"/>
      <c r="HI51" s="316"/>
      <c r="HJ51" s="316"/>
      <c r="HK51" s="316"/>
      <c r="HL51" s="316"/>
      <c r="HM51" s="316"/>
    </row>
    <row r="52" spans="1:221" x14ac:dyDescent="0.25">
      <c r="A52" s="340" t="s">
        <v>264</v>
      </c>
      <c r="B52" s="316"/>
      <c r="C52" s="316"/>
      <c r="D52" s="1">
        <f>$D$35</f>
        <v>0</v>
      </c>
      <c r="E52" s="338" t="s">
        <v>41</v>
      </c>
      <c r="F52" s="337" t="s">
        <v>8</v>
      </c>
      <c r="G52" s="103"/>
      <c r="H52" s="103"/>
      <c r="I52" s="103"/>
      <c r="J52" s="103">
        <v>0</v>
      </c>
      <c r="K52" s="336" t="s">
        <v>42</v>
      </c>
      <c r="L52" s="105"/>
      <c r="M52" s="105"/>
      <c r="N52" s="87"/>
      <c r="O52" s="105">
        <v>0</v>
      </c>
      <c r="P52" s="245">
        <f>'Rider Rates'!$D$96</f>
        <v>44531</v>
      </c>
      <c r="Q52" s="334"/>
      <c r="R52" s="107"/>
      <c r="S52" s="333"/>
      <c r="T52" s="109"/>
      <c r="U52" s="316"/>
      <c r="V52" s="332"/>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6"/>
      <c r="BS52" s="316"/>
      <c r="BT52" s="316"/>
      <c r="BU52" s="316"/>
      <c r="BV52" s="316"/>
      <c r="BW52" s="316"/>
      <c r="BX52" s="316"/>
      <c r="BY52" s="316"/>
      <c r="BZ52" s="316"/>
      <c r="CA52" s="316"/>
      <c r="CB52" s="316"/>
      <c r="CC52" s="316"/>
      <c r="CD52" s="316"/>
      <c r="CE52" s="316"/>
      <c r="CF52" s="316"/>
      <c r="CG52" s="316"/>
      <c r="CH52" s="316"/>
      <c r="CI52" s="316"/>
      <c r="CJ52" s="316"/>
      <c r="CK52" s="316"/>
      <c r="CL52" s="316"/>
      <c r="CM52" s="316"/>
      <c r="CN52" s="316"/>
      <c r="CO52" s="316"/>
      <c r="CP52" s="316"/>
      <c r="CQ52" s="316"/>
      <c r="CR52" s="316"/>
      <c r="CS52" s="316"/>
      <c r="CT52" s="316"/>
      <c r="CU52" s="316"/>
      <c r="CV52" s="316"/>
      <c r="CW52" s="316"/>
      <c r="CX52" s="316"/>
      <c r="CY52" s="316"/>
      <c r="CZ52" s="316"/>
      <c r="DA52" s="316"/>
      <c r="DB52" s="316"/>
      <c r="DC52" s="316"/>
      <c r="DD52" s="316"/>
      <c r="DE52" s="316"/>
      <c r="DF52" s="316"/>
      <c r="DG52" s="316"/>
      <c r="DH52" s="316"/>
      <c r="DI52" s="316"/>
      <c r="DJ52" s="316"/>
      <c r="DK52" s="316"/>
      <c r="DL52" s="316"/>
      <c r="DM52" s="316"/>
      <c r="DN52" s="316"/>
      <c r="DO52" s="316"/>
      <c r="DP52" s="316"/>
      <c r="DQ52" s="316"/>
      <c r="DR52" s="316"/>
      <c r="DS52" s="316"/>
      <c r="DT52" s="316"/>
      <c r="DU52" s="316"/>
      <c r="DV52" s="316"/>
      <c r="DW52" s="316"/>
      <c r="DX52" s="316"/>
      <c r="DY52" s="316"/>
      <c r="DZ52" s="316"/>
      <c r="EA52" s="316"/>
      <c r="EB52" s="316"/>
      <c r="EC52" s="316"/>
      <c r="ED52" s="316"/>
      <c r="EE52" s="316"/>
      <c r="EF52" s="316"/>
      <c r="EG52" s="316"/>
      <c r="EH52" s="316"/>
      <c r="EI52" s="316"/>
      <c r="EJ52" s="316"/>
      <c r="EK52" s="316"/>
      <c r="EL52" s="316"/>
      <c r="EM52" s="316"/>
      <c r="EN52" s="316"/>
      <c r="EO52" s="316"/>
      <c r="EP52" s="316"/>
      <c r="EQ52" s="316"/>
      <c r="ER52" s="316"/>
      <c r="ES52" s="316"/>
      <c r="ET52" s="316"/>
      <c r="EU52" s="316"/>
      <c r="EV52" s="316"/>
      <c r="EW52" s="316"/>
      <c r="EX52" s="316"/>
      <c r="EY52" s="316"/>
      <c r="EZ52" s="316"/>
      <c r="FA52" s="316"/>
      <c r="FB52" s="316"/>
      <c r="FC52" s="316"/>
      <c r="FD52" s="316"/>
      <c r="FE52" s="316"/>
      <c r="FF52" s="316"/>
      <c r="FG52" s="316"/>
      <c r="FH52" s="316"/>
      <c r="FI52" s="316"/>
      <c r="FJ52" s="316"/>
      <c r="FK52" s="316"/>
      <c r="FL52" s="316"/>
      <c r="FM52" s="316"/>
      <c r="FN52" s="316"/>
      <c r="FO52" s="316"/>
      <c r="FP52" s="316"/>
      <c r="FQ52" s="316"/>
      <c r="FR52" s="316"/>
      <c r="FS52" s="316"/>
      <c r="FT52" s="316"/>
      <c r="FU52" s="316"/>
      <c r="FV52" s="316"/>
      <c r="FW52" s="316"/>
      <c r="FX52" s="316"/>
      <c r="FY52" s="316"/>
      <c r="FZ52" s="316"/>
      <c r="GA52" s="316"/>
      <c r="GB52" s="316"/>
      <c r="GC52" s="316"/>
      <c r="GD52" s="316"/>
      <c r="GE52" s="316"/>
      <c r="GF52" s="316"/>
      <c r="GG52" s="316"/>
      <c r="GH52" s="316"/>
      <c r="GI52" s="316"/>
      <c r="GJ52" s="316"/>
      <c r="GK52" s="316"/>
      <c r="GL52" s="316"/>
      <c r="GM52" s="316"/>
      <c r="GN52" s="316"/>
      <c r="GO52" s="316"/>
      <c r="GP52" s="316"/>
      <c r="GQ52" s="316"/>
      <c r="GR52" s="316"/>
      <c r="GS52" s="316"/>
      <c r="GT52" s="316"/>
      <c r="GU52" s="316"/>
      <c r="GV52" s="316"/>
      <c r="GW52" s="316"/>
      <c r="GX52" s="316"/>
      <c r="GY52" s="316"/>
      <c r="GZ52" s="316"/>
      <c r="HA52" s="316"/>
      <c r="HB52" s="316"/>
      <c r="HC52" s="316"/>
      <c r="HD52" s="316"/>
      <c r="HE52" s="316"/>
      <c r="HF52" s="316"/>
      <c r="HG52" s="316"/>
      <c r="HH52" s="316"/>
      <c r="HI52" s="316"/>
      <c r="HJ52" s="316"/>
      <c r="HK52" s="316"/>
      <c r="HL52" s="316"/>
      <c r="HM52" s="316"/>
    </row>
    <row r="53" spans="1:221" ht="13" x14ac:dyDescent="0.3">
      <c r="A53" s="340" t="s">
        <v>157</v>
      </c>
      <c r="B53" s="316"/>
      <c r="C53" s="316"/>
      <c r="D53" s="208">
        <f>$N$30</f>
        <v>9.4</v>
      </c>
      <c r="E53" s="338" t="s">
        <v>121</v>
      </c>
      <c r="F53" s="337" t="s">
        <v>8</v>
      </c>
      <c r="G53" s="114"/>
      <c r="H53" s="115"/>
      <c r="I53" s="120">
        <f>'Rider Rates'!$B$104</f>
        <v>0.21398439999999999</v>
      </c>
      <c r="J53" s="345">
        <f>SUM(H53:I53)</f>
        <v>0.21398439999999999</v>
      </c>
      <c r="K53" s="336"/>
      <c r="L53" s="105"/>
      <c r="M53" s="105"/>
      <c r="N53" s="105">
        <f>ROUND(N$30*I53,2)</f>
        <v>2.0099999999999998</v>
      </c>
      <c r="O53" s="105">
        <f t="shared" ref="O53:O61" si="1">SUM(L53:N53)</f>
        <v>2.0099999999999998</v>
      </c>
      <c r="P53" s="245">
        <f>'Rider Rates'!$D$104</f>
        <v>45351</v>
      </c>
      <c r="Q53" s="334"/>
      <c r="R53" s="107"/>
      <c r="S53" s="333"/>
      <c r="T53" s="109"/>
      <c r="U53" s="316"/>
      <c r="V53" s="332"/>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6"/>
      <c r="DA53" s="316"/>
      <c r="DB53" s="316"/>
      <c r="DC53" s="316"/>
      <c r="DD53" s="316"/>
      <c r="DE53" s="316"/>
      <c r="DF53" s="316"/>
      <c r="DG53" s="316"/>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6"/>
      <c r="ET53" s="316"/>
      <c r="EU53" s="316"/>
      <c r="EV53" s="316"/>
      <c r="EW53" s="316"/>
      <c r="EX53" s="316"/>
      <c r="EY53" s="316"/>
      <c r="EZ53" s="316"/>
      <c r="FA53" s="316"/>
      <c r="FB53" s="316"/>
      <c r="FC53" s="316"/>
      <c r="FD53" s="316"/>
      <c r="FE53" s="316"/>
      <c r="FF53" s="316"/>
      <c r="FG53" s="316"/>
      <c r="FH53" s="316"/>
      <c r="FI53" s="316"/>
      <c r="FJ53" s="316"/>
      <c r="FK53" s="316"/>
      <c r="FL53" s="316"/>
      <c r="FM53" s="316"/>
      <c r="FN53" s="316"/>
      <c r="FO53" s="316"/>
      <c r="FP53" s="316"/>
      <c r="FQ53" s="316"/>
      <c r="FR53" s="316"/>
      <c r="FS53" s="316"/>
      <c r="FT53" s="316"/>
      <c r="FU53" s="316"/>
      <c r="FV53" s="316"/>
      <c r="FW53" s="316"/>
      <c r="FX53" s="316"/>
      <c r="FY53" s="316"/>
      <c r="FZ53" s="316"/>
      <c r="GA53" s="316"/>
      <c r="GB53" s="316"/>
      <c r="GC53" s="316"/>
      <c r="GD53" s="316"/>
      <c r="GE53" s="316"/>
      <c r="GF53" s="316"/>
      <c r="GG53" s="316"/>
      <c r="GH53" s="316"/>
      <c r="GI53" s="316"/>
      <c r="GJ53" s="316"/>
      <c r="GK53" s="316"/>
      <c r="GL53" s="316"/>
      <c r="GM53" s="316"/>
      <c r="GN53" s="316"/>
      <c r="GO53" s="316"/>
      <c r="GP53" s="316"/>
      <c r="GQ53" s="316"/>
      <c r="GR53" s="316"/>
      <c r="GS53" s="316"/>
      <c r="GT53" s="316"/>
      <c r="GU53" s="316"/>
      <c r="GV53" s="316"/>
      <c r="GW53" s="316"/>
      <c r="GX53" s="316"/>
      <c r="GY53" s="316"/>
      <c r="GZ53" s="316"/>
      <c r="HA53" s="316"/>
      <c r="HB53" s="316"/>
      <c r="HC53" s="316"/>
      <c r="HD53" s="316"/>
      <c r="HE53" s="316"/>
      <c r="HF53" s="316"/>
      <c r="HG53" s="316"/>
      <c r="HH53" s="316"/>
      <c r="HI53" s="316"/>
      <c r="HJ53" s="316"/>
      <c r="HK53" s="316"/>
      <c r="HL53" s="316"/>
      <c r="HM53" s="316"/>
    </row>
    <row r="54" spans="1:221" ht="13" x14ac:dyDescent="0.3">
      <c r="A54" s="340" t="s">
        <v>219</v>
      </c>
      <c r="B54" s="316"/>
      <c r="C54" s="316"/>
      <c r="D54" s="195"/>
      <c r="E54" s="347" t="s">
        <v>114</v>
      </c>
      <c r="F54" s="334"/>
      <c r="G54" s="114"/>
      <c r="H54" s="115"/>
      <c r="I54" s="196">
        <f>'Rider Rates'!$B$108</f>
        <v>0</v>
      </c>
      <c r="J54" s="346">
        <f>SUM(G54:I54)</f>
        <v>0</v>
      </c>
      <c r="K54" s="336"/>
      <c r="L54" s="105"/>
      <c r="M54" s="105"/>
      <c r="N54" s="105">
        <f>I54</f>
        <v>0</v>
      </c>
      <c r="O54" s="105">
        <f t="shared" si="1"/>
        <v>0</v>
      </c>
      <c r="P54" s="245">
        <f>'Rider Rates'!$D$108</f>
        <v>44894</v>
      </c>
      <c r="Q54" s="334"/>
      <c r="R54" s="107"/>
      <c r="S54" s="333"/>
      <c r="T54" s="109"/>
      <c r="U54" s="316"/>
      <c r="V54" s="332"/>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316"/>
      <c r="EV54" s="316"/>
      <c r="EW54" s="316"/>
      <c r="EX54" s="316"/>
      <c r="EY54" s="316"/>
      <c r="EZ54" s="316"/>
      <c r="FA54" s="316"/>
      <c r="FB54" s="316"/>
      <c r="FC54" s="316"/>
      <c r="FD54" s="316"/>
      <c r="FE54" s="316"/>
      <c r="FF54" s="316"/>
      <c r="FG54" s="316"/>
      <c r="FH54" s="316"/>
      <c r="FI54" s="316"/>
      <c r="FJ54" s="316"/>
      <c r="FK54" s="316"/>
      <c r="FL54" s="316"/>
      <c r="FM54" s="316"/>
      <c r="FN54" s="316"/>
      <c r="FO54" s="316"/>
      <c r="FP54" s="316"/>
      <c r="FQ54" s="316"/>
      <c r="FR54" s="316"/>
      <c r="FS54" s="316"/>
      <c r="FT54" s="316"/>
      <c r="FU54" s="316"/>
      <c r="FV54" s="316"/>
      <c r="FW54" s="316"/>
      <c r="FX54" s="316"/>
      <c r="FY54" s="316"/>
      <c r="FZ54" s="316"/>
      <c r="GA54" s="316"/>
      <c r="GB54" s="316"/>
      <c r="GC54" s="316"/>
      <c r="GD54" s="316"/>
      <c r="GE54" s="316"/>
      <c r="GF54" s="316"/>
      <c r="GG54" s="316"/>
      <c r="GH54" s="316"/>
      <c r="GI54" s="316"/>
      <c r="GJ54" s="316"/>
      <c r="GK54" s="316"/>
      <c r="GL54" s="316"/>
      <c r="GM54" s="316"/>
      <c r="GN54" s="316"/>
      <c r="GO54" s="316"/>
      <c r="GP54" s="316"/>
      <c r="GQ54" s="316"/>
      <c r="GR54" s="316"/>
      <c r="GS54" s="316"/>
      <c r="GT54" s="316"/>
      <c r="GU54" s="316"/>
      <c r="GV54" s="316"/>
      <c r="GW54" s="316"/>
      <c r="GX54" s="316"/>
      <c r="GY54" s="316"/>
      <c r="GZ54" s="316"/>
      <c r="HA54" s="316"/>
      <c r="HB54" s="316"/>
      <c r="HC54" s="316"/>
      <c r="HD54" s="316"/>
      <c r="HE54" s="316"/>
      <c r="HF54" s="316"/>
      <c r="HG54" s="316"/>
      <c r="HH54" s="316"/>
      <c r="HI54" s="316"/>
      <c r="HJ54" s="316"/>
      <c r="HK54" s="316"/>
      <c r="HL54" s="316"/>
      <c r="HM54" s="316"/>
    </row>
    <row r="55" spans="1:221" ht="13" x14ac:dyDescent="0.3">
      <c r="A55" s="340" t="s">
        <v>227</v>
      </c>
      <c r="B55" s="316"/>
      <c r="C55" s="316"/>
      <c r="D55" s="195"/>
      <c r="E55" s="347" t="s">
        <v>114</v>
      </c>
      <c r="F55" s="334"/>
      <c r="G55" s="114"/>
      <c r="H55" s="115"/>
      <c r="I55" s="260">
        <f>'Rider Rates'!B121</f>
        <v>5.83</v>
      </c>
      <c r="J55" s="346">
        <f>SUM(G55:I55)</f>
        <v>5.83</v>
      </c>
      <c r="K55" s="336"/>
      <c r="L55" s="105"/>
      <c r="M55" s="105"/>
      <c r="N55" s="262">
        <f>I55</f>
        <v>5.83</v>
      </c>
      <c r="O55" s="105">
        <f t="shared" si="1"/>
        <v>5.83</v>
      </c>
      <c r="P55" s="245">
        <f>'Rider Rates'!D121</f>
        <v>45226</v>
      </c>
      <c r="Q55" s="334"/>
      <c r="R55" s="107"/>
      <c r="S55" s="333"/>
      <c r="T55" s="109"/>
      <c r="U55" s="316"/>
      <c r="V55" s="332"/>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c r="FF55" s="316"/>
      <c r="FG55" s="316"/>
      <c r="FH55" s="316"/>
      <c r="FI55" s="316"/>
      <c r="FJ55" s="316"/>
      <c r="FK55" s="316"/>
      <c r="FL55" s="316"/>
      <c r="FM55" s="316"/>
      <c r="FN55" s="316"/>
      <c r="FO55" s="316"/>
      <c r="FP55" s="316"/>
      <c r="FQ55" s="316"/>
      <c r="FR55" s="316"/>
      <c r="FS55" s="316"/>
      <c r="FT55" s="316"/>
      <c r="FU55" s="316"/>
      <c r="FV55" s="316"/>
      <c r="FW55" s="316"/>
      <c r="FX55" s="316"/>
      <c r="FY55" s="316"/>
      <c r="FZ55" s="316"/>
      <c r="GA55" s="316"/>
      <c r="GB55" s="316"/>
      <c r="GC55" s="316"/>
      <c r="GD55" s="316"/>
      <c r="GE55" s="316"/>
      <c r="GF55" s="316"/>
      <c r="GG55" s="316"/>
      <c r="GH55" s="316"/>
      <c r="GI55" s="316"/>
      <c r="GJ55" s="316"/>
      <c r="GK55" s="316"/>
      <c r="GL55" s="316"/>
      <c r="GM55" s="316"/>
      <c r="GN55" s="316"/>
      <c r="GO55" s="316"/>
      <c r="GP55" s="316"/>
      <c r="GQ55" s="316"/>
      <c r="GR55" s="316"/>
      <c r="GS55" s="316"/>
      <c r="GT55" s="316"/>
      <c r="GU55" s="316"/>
      <c r="GV55" s="316"/>
      <c r="GW55" s="316"/>
      <c r="GX55" s="316"/>
      <c r="GY55" s="316"/>
      <c r="GZ55" s="316"/>
      <c r="HA55" s="316"/>
      <c r="HB55" s="316"/>
      <c r="HC55" s="316"/>
      <c r="HD55" s="316"/>
      <c r="HE55" s="316"/>
      <c r="HF55" s="316"/>
      <c r="HG55" s="316"/>
      <c r="HH55" s="316"/>
      <c r="HI55" s="316"/>
      <c r="HJ55" s="316"/>
      <c r="HK55" s="316"/>
      <c r="HL55" s="316"/>
      <c r="HM55" s="316"/>
    </row>
    <row r="56" spans="1:221" x14ac:dyDescent="0.25">
      <c r="A56" s="340" t="s">
        <v>158</v>
      </c>
      <c r="B56" s="316"/>
      <c r="C56" s="316"/>
      <c r="D56" s="100">
        <f>IF('Customer Info'!$C$32=TRUE,0,'Customer Info'!$B$21+'Customer Info'!$B$22-'Customer Info'!$B$23)</f>
        <v>0</v>
      </c>
      <c r="E56" s="338" t="s">
        <v>41</v>
      </c>
      <c r="F56" s="337" t="s">
        <v>8</v>
      </c>
      <c r="G56" s="103">
        <f>'Rider Rates'!$B$111</f>
        <v>3.8972999999999998E-3</v>
      </c>
      <c r="H56" s="103"/>
      <c r="I56" s="120"/>
      <c r="J56" s="341">
        <f>SUM(G56:H56)</f>
        <v>3.8972999999999998E-3</v>
      </c>
      <c r="K56" s="336" t="s">
        <v>42</v>
      </c>
      <c r="L56" s="105">
        <f>ROUND(D56*G56,2)</f>
        <v>0</v>
      </c>
      <c r="M56" s="105"/>
      <c r="N56" s="105"/>
      <c r="O56" s="105">
        <f t="shared" si="1"/>
        <v>0</v>
      </c>
      <c r="P56" s="245">
        <f>'Rider Rates'!$D$112</f>
        <v>44531</v>
      </c>
      <c r="Q56" s="334"/>
      <c r="R56" s="107"/>
      <c r="S56" s="333"/>
      <c r="T56" s="109"/>
      <c r="U56" s="316"/>
      <c r="V56" s="332"/>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16"/>
      <c r="CN56" s="316"/>
      <c r="CO56" s="316"/>
      <c r="CP56" s="316"/>
      <c r="CQ56" s="316"/>
      <c r="CR56" s="316"/>
      <c r="CS56" s="316"/>
      <c r="CT56" s="316"/>
      <c r="CU56" s="316"/>
      <c r="CV56" s="316"/>
      <c r="CW56" s="316"/>
      <c r="CX56" s="316"/>
      <c r="CY56" s="316"/>
      <c r="CZ56" s="316"/>
      <c r="DA56" s="316"/>
      <c r="DB56" s="316"/>
      <c r="DC56" s="316"/>
      <c r="DD56" s="316"/>
      <c r="DE56" s="316"/>
      <c r="DF56" s="316"/>
      <c r="DG56" s="316"/>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6"/>
      <c r="ET56" s="316"/>
      <c r="EU56" s="316"/>
      <c r="EV56" s="316"/>
      <c r="EW56" s="316"/>
      <c r="EX56" s="316"/>
      <c r="EY56" s="316"/>
      <c r="EZ56" s="316"/>
      <c r="FA56" s="316"/>
      <c r="FB56" s="316"/>
      <c r="FC56" s="316"/>
      <c r="FD56" s="316"/>
      <c r="FE56" s="316"/>
      <c r="FF56" s="316"/>
      <c r="FG56" s="316"/>
      <c r="FH56" s="316"/>
      <c r="FI56" s="316"/>
      <c r="FJ56" s="316"/>
      <c r="FK56" s="316"/>
      <c r="FL56" s="316"/>
      <c r="FM56" s="316"/>
      <c r="FN56" s="316"/>
      <c r="FO56" s="316"/>
      <c r="FP56" s="316"/>
      <c r="FQ56" s="316"/>
      <c r="FR56" s="316"/>
      <c r="FS56" s="316"/>
      <c r="FT56" s="316"/>
      <c r="FU56" s="316"/>
      <c r="FV56" s="316"/>
      <c r="FW56" s="316"/>
      <c r="FX56" s="316"/>
      <c r="FY56" s="316"/>
      <c r="FZ56" s="316"/>
      <c r="GA56" s="316"/>
      <c r="GB56" s="316"/>
      <c r="GC56" s="316"/>
      <c r="GD56" s="316"/>
      <c r="GE56" s="316"/>
      <c r="GF56" s="316"/>
      <c r="GG56" s="316"/>
      <c r="GH56" s="316"/>
      <c r="GI56" s="316"/>
      <c r="GJ56" s="316"/>
      <c r="GK56" s="316"/>
      <c r="GL56" s="316"/>
      <c r="GM56" s="316"/>
      <c r="GN56" s="316"/>
      <c r="GO56" s="316"/>
      <c r="GP56" s="316"/>
      <c r="GQ56" s="316"/>
      <c r="GR56" s="316"/>
      <c r="GS56" s="316"/>
      <c r="GT56" s="316"/>
      <c r="GU56" s="316"/>
      <c r="GV56" s="316"/>
      <c r="GW56" s="316"/>
      <c r="GX56" s="316"/>
      <c r="GY56" s="316"/>
      <c r="GZ56" s="316"/>
      <c r="HA56" s="316"/>
      <c r="HB56" s="316"/>
      <c r="HC56" s="316"/>
      <c r="HD56" s="316"/>
      <c r="HE56" s="316"/>
      <c r="HF56" s="316"/>
      <c r="HG56" s="316"/>
      <c r="HH56" s="316"/>
      <c r="HI56" s="316"/>
      <c r="HJ56" s="316"/>
      <c r="HK56" s="316"/>
      <c r="HL56" s="316"/>
      <c r="HM56" s="316"/>
    </row>
    <row r="57" spans="1:221" x14ac:dyDescent="0.25">
      <c r="A57" s="340" t="s">
        <v>218</v>
      </c>
      <c r="B57" s="316"/>
      <c r="C57" s="316"/>
      <c r="D57" s="1">
        <f>IF($C$16&lt;1,0,$C$16)</f>
        <v>0</v>
      </c>
      <c r="E57" s="338" t="s">
        <v>41</v>
      </c>
      <c r="F57" s="342" t="s">
        <v>8</v>
      </c>
      <c r="G57" s="165"/>
      <c r="H57" s="165"/>
      <c r="I57" s="251">
        <f>'Rider Rates'!B117</f>
        <v>-6.2E-4</v>
      </c>
      <c r="J57" s="251">
        <f>SUM(G57:I57)</f>
        <v>-6.2E-4</v>
      </c>
      <c r="K57" s="336" t="s">
        <v>42</v>
      </c>
      <c r="L57" s="105"/>
      <c r="M57" s="105"/>
      <c r="N57" s="105">
        <f>D57*I57</f>
        <v>0</v>
      </c>
      <c r="O57" s="105">
        <f t="shared" si="1"/>
        <v>0</v>
      </c>
      <c r="P57" s="245">
        <f>'Rider Rates'!D117</f>
        <v>44531</v>
      </c>
      <c r="Q57" s="334"/>
      <c r="R57" s="107"/>
      <c r="S57" s="333"/>
      <c r="T57" s="109"/>
      <c r="U57" s="316"/>
      <c r="V57" s="332"/>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c r="DD57" s="316"/>
      <c r="DE57" s="316"/>
      <c r="DF57" s="316"/>
      <c r="DG57" s="316"/>
      <c r="DH57" s="316"/>
      <c r="DI57" s="316"/>
      <c r="DJ57" s="316"/>
      <c r="DK57" s="316"/>
      <c r="DL57" s="316"/>
      <c r="DM57" s="316"/>
      <c r="DN57" s="316"/>
      <c r="DO57" s="316"/>
      <c r="DP57" s="316"/>
      <c r="DQ57" s="316"/>
      <c r="DR57" s="316"/>
      <c r="DS57" s="316"/>
      <c r="DT57" s="316"/>
      <c r="DU57" s="316"/>
      <c r="DV57" s="316"/>
      <c r="DW57" s="316"/>
      <c r="DX57" s="316"/>
      <c r="DY57" s="316"/>
      <c r="DZ57" s="316"/>
      <c r="EA57" s="316"/>
      <c r="EB57" s="316"/>
      <c r="EC57" s="316"/>
      <c r="ED57" s="316"/>
      <c r="EE57" s="316"/>
      <c r="EF57" s="316"/>
      <c r="EG57" s="316"/>
      <c r="EH57" s="316"/>
      <c r="EI57" s="316"/>
      <c r="EJ57" s="316"/>
      <c r="EK57" s="316"/>
      <c r="EL57" s="316"/>
      <c r="EM57" s="316"/>
      <c r="EN57" s="316"/>
      <c r="EO57" s="316"/>
      <c r="EP57" s="316"/>
      <c r="EQ57" s="316"/>
      <c r="ER57" s="316"/>
      <c r="ES57" s="316"/>
      <c r="ET57" s="316"/>
      <c r="EU57" s="316"/>
      <c r="EV57" s="316"/>
      <c r="EW57" s="316"/>
      <c r="EX57" s="316"/>
      <c r="EY57" s="316"/>
      <c r="EZ57" s="316"/>
      <c r="FA57" s="316"/>
      <c r="FB57" s="316"/>
      <c r="FC57" s="316"/>
      <c r="FD57" s="316"/>
      <c r="FE57" s="316"/>
      <c r="FF57" s="316"/>
      <c r="FG57" s="316"/>
      <c r="FH57" s="316"/>
      <c r="FI57" s="316"/>
      <c r="FJ57" s="316"/>
      <c r="FK57" s="316"/>
      <c r="FL57" s="316"/>
      <c r="FM57" s="316"/>
      <c r="FN57" s="316"/>
      <c r="FO57" s="316"/>
      <c r="FP57" s="316"/>
      <c r="FQ57" s="316"/>
      <c r="FR57" s="316"/>
      <c r="FS57" s="316"/>
      <c r="FT57" s="316"/>
      <c r="FU57" s="316"/>
      <c r="FV57" s="316"/>
      <c r="FW57" s="316"/>
      <c r="FX57" s="316"/>
      <c r="FY57" s="316"/>
      <c r="FZ57" s="316"/>
      <c r="GA57" s="316"/>
      <c r="GB57" s="316"/>
      <c r="GC57" s="316"/>
      <c r="GD57" s="316"/>
      <c r="GE57" s="316"/>
      <c r="GF57" s="316"/>
      <c r="GG57" s="316"/>
      <c r="GH57" s="316"/>
      <c r="GI57" s="316"/>
      <c r="GJ57" s="316"/>
      <c r="GK57" s="316"/>
      <c r="GL57" s="316"/>
      <c r="GM57" s="316"/>
      <c r="GN57" s="316"/>
      <c r="GO57" s="316"/>
      <c r="GP57" s="316"/>
      <c r="GQ57" s="316"/>
      <c r="GR57" s="316"/>
      <c r="GS57" s="316"/>
      <c r="GT57" s="316"/>
      <c r="GU57" s="316"/>
      <c r="GV57" s="316"/>
      <c r="GW57" s="316"/>
      <c r="GX57" s="316"/>
      <c r="GY57" s="316"/>
      <c r="GZ57" s="316"/>
      <c r="HA57" s="316"/>
      <c r="HB57" s="316"/>
      <c r="HC57" s="316"/>
      <c r="HD57" s="316"/>
      <c r="HE57" s="316"/>
      <c r="HF57" s="316"/>
      <c r="HG57" s="316"/>
      <c r="HH57" s="316"/>
      <c r="HI57" s="316"/>
      <c r="HJ57" s="316"/>
      <c r="HK57" s="316"/>
      <c r="HL57" s="316"/>
      <c r="HM57" s="316"/>
    </row>
    <row r="58" spans="1:221" x14ac:dyDescent="0.25">
      <c r="A58" s="316" t="s">
        <v>243</v>
      </c>
      <c r="B58" s="316"/>
      <c r="C58" s="316"/>
      <c r="D58" s="100">
        <f>IF(C16&lt;0,0,IF(C16&gt;833000,833000,C16))</f>
        <v>0</v>
      </c>
      <c r="E58" s="338" t="s">
        <v>41</v>
      </c>
      <c r="F58" s="337" t="s">
        <v>8</v>
      </c>
      <c r="G58" s="267"/>
      <c r="H58" s="267"/>
      <c r="I58" s="267">
        <f>'Rider Rates'!$B$125</f>
        <v>2.9050000000000001E-4</v>
      </c>
      <c r="J58" s="344">
        <f>SUM(G58:I58)</f>
        <v>2.9050000000000001E-4</v>
      </c>
      <c r="K58" s="336" t="s">
        <v>42</v>
      </c>
      <c r="L58" s="343"/>
      <c r="M58" s="343"/>
      <c r="N58" s="343">
        <f>IF(D58*J58&gt;'Rider Rates'!$C$125,'Rider Rates'!$C$125,D58*J58)</f>
        <v>0</v>
      </c>
      <c r="O58" s="343">
        <f t="shared" si="1"/>
        <v>0</v>
      </c>
      <c r="P58" s="266">
        <f>'Rider Rates'!$E$125</f>
        <v>45292</v>
      </c>
      <c r="Q58" s="334"/>
      <c r="R58" s="107"/>
      <c r="S58" s="333"/>
      <c r="T58" s="109"/>
      <c r="U58" s="316"/>
      <c r="V58" s="332"/>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316"/>
      <c r="CA58" s="316"/>
      <c r="CB58" s="316"/>
      <c r="CC58" s="316"/>
      <c r="CD58" s="316"/>
      <c r="CE58" s="316"/>
      <c r="CF58" s="316"/>
      <c r="CG58" s="316"/>
      <c r="CH58" s="316"/>
      <c r="CI58" s="316"/>
      <c r="CJ58" s="316"/>
      <c r="CK58" s="316"/>
      <c r="CL58" s="316"/>
      <c r="CM58" s="316"/>
      <c r="CN58" s="316"/>
      <c r="CO58" s="316"/>
      <c r="CP58" s="316"/>
      <c r="CQ58" s="316"/>
      <c r="CR58" s="316"/>
      <c r="CS58" s="316"/>
      <c r="CT58" s="316"/>
      <c r="CU58" s="316"/>
      <c r="CV58" s="316"/>
      <c r="CW58" s="316"/>
      <c r="CX58" s="316"/>
      <c r="CY58" s="316"/>
      <c r="CZ58" s="316"/>
      <c r="DA58" s="316"/>
      <c r="DB58" s="316"/>
      <c r="DC58" s="316"/>
      <c r="DD58" s="316"/>
      <c r="DE58" s="316"/>
      <c r="DF58" s="316"/>
      <c r="DG58" s="316"/>
      <c r="DH58" s="316"/>
      <c r="DI58" s="316"/>
      <c r="DJ58" s="316"/>
      <c r="DK58" s="316"/>
      <c r="DL58" s="316"/>
      <c r="DM58" s="316"/>
      <c r="DN58" s="316"/>
      <c r="DO58" s="316"/>
      <c r="DP58" s="316"/>
      <c r="DQ58" s="316"/>
      <c r="DR58" s="316"/>
      <c r="DS58" s="316"/>
      <c r="DT58" s="316"/>
      <c r="DU58" s="316"/>
      <c r="DV58" s="316"/>
      <c r="DW58" s="316"/>
      <c r="DX58" s="316"/>
      <c r="DY58" s="316"/>
      <c r="DZ58" s="316"/>
      <c r="EA58" s="316"/>
      <c r="EB58" s="316"/>
      <c r="EC58" s="316"/>
      <c r="ED58" s="316"/>
      <c r="EE58" s="316"/>
      <c r="EF58" s="316"/>
      <c r="EG58" s="316"/>
      <c r="EH58" s="316"/>
      <c r="EI58" s="316"/>
      <c r="EJ58" s="316"/>
      <c r="EK58" s="316"/>
      <c r="EL58" s="316"/>
      <c r="EM58" s="316"/>
      <c r="EN58" s="316"/>
      <c r="EO58" s="316"/>
      <c r="EP58" s="316"/>
      <c r="EQ58" s="316"/>
      <c r="ER58" s="316"/>
      <c r="ES58" s="316"/>
      <c r="ET58" s="316"/>
      <c r="EU58" s="316"/>
      <c r="EV58" s="316"/>
      <c r="EW58" s="316"/>
      <c r="EX58" s="316"/>
      <c r="EY58" s="316"/>
      <c r="EZ58" s="316"/>
      <c r="FA58" s="316"/>
      <c r="FB58" s="316"/>
      <c r="FC58" s="316"/>
      <c r="FD58" s="316"/>
      <c r="FE58" s="316"/>
      <c r="FF58" s="316"/>
      <c r="FG58" s="316"/>
      <c r="FH58" s="316"/>
      <c r="FI58" s="316"/>
      <c r="FJ58" s="316"/>
      <c r="FK58" s="316"/>
      <c r="FL58" s="316"/>
      <c r="FM58" s="316"/>
      <c r="FN58" s="316"/>
      <c r="FO58" s="316"/>
      <c r="FP58" s="316"/>
      <c r="FQ58" s="316"/>
      <c r="FR58" s="316"/>
      <c r="FS58" s="316"/>
      <c r="FT58" s="316"/>
      <c r="FU58" s="316"/>
      <c r="FV58" s="316"/>
      <c r="FW58" s="316"/>
      <c r="FX58" s="316"/>
      <c r="FY58" s="316"/>
      <c r="FZ58" s="316"/>
      <c r="GA58" s="316"/>
      <c r="GB58" s="316"/>
      <c r="GC58" s="316"/>
      <c r="GD58" s="316"/>
      <c r="GE58" s="316"/>
      <c r="GF58" s="316"/>
      <c r="GG58" s="316"/>
      <c r="GH58" s="316"/>
      <c r="GI58" s="316"/>
      <c r="GJ58" s="316"/>
      <c r="GK58" s="316"/>
      <c r="GL58" s="316"/>
      <c r="GM58" s="316"/>
      <c r="GN58" s="316"/>
      <c r="GO58" s="316"/>
      <c r="GP58" s="316"/>
      <c r="GQ58" s="316"/>
      <c r="GR58" s="316"/>
      <c r="GS58" s="316"/>
      <c r="GT58" s="316"/>
      <c r="GU58" s="316"/>
      <c r="GV58" s="316"/>
      <c r="GW58" s="316"/>
      <c r="GX58" s="316"/>
      <c r="GY58" s="316"/>
      <c r="GZ58" s="316"/>
      <c r="HA58" s="316"/>
      <c r="HB58" s="316"/>
      <c r="HC58" s="316"/>
      <c r="HD58" s="316"/>
      <c r="HE58" s="316"/>
      <c r="HF58" s="316"/>
      <c r="HG58" s="316"/>
      <c r="HH58" s="316"/>
      <c r="HI58" s="316"/>
      <c r="HJ58" s="316"/>
      <c r="HK58" s="316"/>
      <c r="HL58" s="316"/>
      <c r="HM58" s="316"/>
    </row>
    <row r="59" spans="1:221" x14ac:dyDescent="0.25">
      <c r="A59" s="316" t="s">
        <v>244</v>
      </c>
      <c r="B59" s="316"/>
      <c r="C59" s="316"/>
      <c r="D59" s="123">
        <f>IF(C16&gt;833000,C16-833000,0)</f>
        <v>0</v>
      </c>
      <c r="E59" s="338" t="s">
        <v>41</v>
      </c>
      <c r="F59" s="337" t="s">
        <v>8</v>
      </c>
      <c r="G59" s="267"/>
      <c r="H59" s="267"/>
      <c r="I59" s="267">
        <f>'Rider Rates'!$B$126</f>
        <v>0</v>
      </c>
      <c r="J59" s="344">
        <f>SUM(G59:I59)</f>
        <v>0</v>
      </c>
      <c r="K59" s="336" t="s">
        <v>42</v>
      </c>
      <c r="L59" s="343"/>
      <c r="M59" s="343"/>
      <c r="N59" s="343">
        <f>D59*J59</f>
        <v>0</v>
      </c>
      <c r="O59" s="343">
        <f t="shared" si="1"/>
        <v>0</v>
      </c>
      <c r="P59" s="266">
        <f>'Rider Rates'!$E$126</f>
        <v>44927</v>
      </c>
      <c r="Q59" s="334"/>
      <c r="R59" s="107"/>
      <c r="S59" s="333"/>
      <c r="T59" s="109"/>
      <c r="U59" s="316"/>
      <c r="V59" s="332"/>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6"/>
      <c r="BX59" s="316"/>
      <c r="BY59" s="316"/>
      <c r="BZ59" s="316"/>
      <c r="CA59" s="316"/>
      <c r="CB59" s="316"/>
      <c r="CC59" s="316"/>
      <c r="CD59" s="316"/>
      <c r="CE59" s="316"/>
      <c r="CF59" s="316"/>
      <c r="CG59" s="316"/>
      <c r="CH59" s="316"/>
      <c r="CI59" s="316"/>
      <c r="CJ59" s="316"/>
      <c r="CK59" s="316"/>
      <c r="CL59" s="316"/>
      <c r="CM59" s="316"/>
      <c r="CN59" s="316"/>
      <c r="CO59" s="316"/>
      <c r="CP59" s="316"/>
      <c r="CQ59" s="316"/>
      <c r="CR59" s="316"/>
      <c r="CS59" s="316"/>
      <c r="CT59" s="316"/>
      <c r="CU59" s="316"/>
      <c r="CV59" s="316"/>
      <c r="CW59" s="316"/>
      <c r="CX59" s="316"/>
      <c r="CY59" s="316"/>
      <c r="CZ59" s="316"/>
      <c r="DA59" s="316"/>
      <c r="DB59" s="316"/>
      <c r="DC59" s="316"/>
      <c r="DD59" s="316"/>
      <c r="DE59" s="316"/>
      <c r="DF59" s="316"/>
      <c r="DG59" s="316"/>
      <c r="DH59" s="316"/>
      <c r="DI59" s="316"/>
      <c r="DJ59" s="316"/>
      <c r="DK59" s="316"/>
      <c r="DL59" s="316"/>
      <c r="DM59" s="316"/>
      <c r="DN59" s="316"/>
      <c r="DO59" s="316"/>
      <c r="DP59" s="316"/>
      <c r="DQ59" s="316"/>
      <c r="DR59" s="316"/>
      <c r="DS59" s="316"/>
      <c r="DT59" s="316"/>
      <c r="DU59" s="316"/>
      <c r="DV59" s="316"/>
      <c r="DW59" s="316"/>
      <c r="DX59" s="316"/>
      <c r="DY59" s="316"/>
      <c r="DZ59" s="316"/>
      <c r="EA59" s="316"/>
      <c r="EB59" s="316"/>
      <c r="EC59" s="316"/>
      <c r="ED59" s="316"/>
      <c r="EE59" s="316"/>
      <c r="EF59" s="316"/>
      <c r="EG59" s="316"/>
      <c r="EH59" s="316"/>
      <c r="EI59" s="316"/>
      <c r="EJ59" s="316"/>
      <c r="EK59" s="316"/>
      <c r="EL59" s="316"/>
      <c r="EM59" s="316"/>
      <c r="EN59" s="316"/>
      <c r="EO59" s="316"/>
      <c r="EP59" s="316"/>
      <c r="EQ59" s="316"/>
      <c r="ER59" s="316"/>
      <c r="ES59" s="316"/>
      <c r="ET59" s="316"/>
      <c r="EU59" s="316"/>
      <c r="EV59" s="316"/>
      <c r="EW59" s="316"/>
      <c r="EX59" s="316"/>
      <c r="EY59" s="316"/>
      <c r="EZ59" s="316"/>
      <c r="FA59" s="316"/>
      <c r="FB59" s="316"/>
      <c r="FC59" s="316"/>
      <c r="FD59" s="316"/>
      <c r="FE59" s="316"/>
      <c r="FF59" s="316"/>
      <c r="FG59" s="316"/>
      <c r="FH59" s="316"/>
      <c r="FI59" s="316"/>
      <c r="FJ59" s="316"/>
      <c r="FK59" s="316"/>
      <c r="FL59" s="316"/>
      <c r="FM59" s="316"/>
      <c r="FN59" s="316"/>
      <c r="FO59" s="316"/>
      <c r="FP59" s="316"/>
      <c r="FQ59" s="316"/>
      <c r="FR59" s="316"/>
      <c r="FS59" s="316"/>
      <c r="FT59" s="316"/>
      <c r="FU59" s="316"/>
      <c r="FV59" s="316"/>
      <c r="FW59" s="316"/>
      <c r="FX59" s="316"/>
      <c r="FY59" s="316"/>
      <c r="FZ59" s="316"/>
      <c r="GA59" s="316"/>
      <c r="GB59" s="316"/>
      <c r="GC59" s="316"/>
      <c r="GD59" s="316"/>
      <c r="GE59" s="316"/>
      <c r="GF59" s="316"/>
      <c r="GG59" s="316"/>
      <c r="GH59" s="316"/>
      <c r="GI59" s="316"/>
      <c r="GJ59" s="316"/>
      <c r="GK59" s="316"/>
      <c r="GL59" s="316"/>
      <c r="GM59" s="316"/>
      <c r="GN59" s="316"/>
      <c r="GO59" s="316"/>
      <c r="GP59" s="316"/>
      <c r="GQ59" s="316"/>
      <c r="GR59" s="316"/>
      <c r="GS59" s="316"/>
      <c r="GT59" s="316"/>
      <c r="GU59" s="316"/>
      <c r="GV59" s="316"/>
      <c r="GW59" s="316"/>
      <c r="GX59" s="316"/>
      <c r="GY59" s="316"/>
      <c r="GZ59" s="316"/>
      <c r="HA59" s="316"/>
      <c r="HB59" s="316"/>
      <c r="HC59" s="316"/>
      <c r="HD59" s="316"/>
      <c r="HE59" s="316"/>
      <c r="HF59" s="316"/>
      <c r="HG59" s="316"/>
      <c r="HH59" s="316"/>
      <c r="HI59" s="316"/>
      <c r="HJ59" s="316"/>
      <c r="HK59" s="316"/>
      <c r="HL59" s="316"/>
      <c r="HM59" s="316"/>
    </row>
    <row r="60" spans="1:221" x14ac:dyDescent="0.25">
      <c r="A60" s="340" t="s">
        <v>252</v>
      </c>
      <c r="B60" s="316"/>
      <c r="C60" s="316"/>
      <c r="D60" s="100">
        <f>D16</f>
        <v>0</v>
      </c>
      <c r="E60" s="338" t="s">
        <v>41</v>
      </c>
      <c r="F60" s="342" t="s">
        <v>8</v>
      </c>
      <c r="G60" s="103"/>
      <c r="H60" s="103"/>
      <c r="I60" s="103">
        <f>'Rider Rates'!$B$130</f>
        <v>0</v>
      </c>
      <c r="J60" s="341">
        <f>SUM(G60:I60)</f>
        <v>0</v>
      </c>
      <c r="K60" s="336" t="s">
        <v>42</v>
      </c>
      <c r="L60" s="105"/>
      <c r="M60" s="105"/>
      <c r="N60" s="105">
        <f>D60*J60</f>
        <v>0</v>
      </c>
      <c r="O60" s="105">
        <f t="shared" si="1"/>
        <v>0</v>
      </c>
      <c r="P60" s="245">
        <f>'Rider Rates'!$D$130</f>
        <v>44531</v>
      </c>
      <c r="Q60" s="334"/>
      <c r="R60" s="107"/>
      <c r="S60" s="333"/>
      <c r="T60" s="109"/>
      <c r="U60" s="316"/>
      <c r="V60" s="332"/>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6"/>
      <c r="CP60" s="316"/>
      <c r="CQ60" s="316"/>
      <c r="CR60" s="316"/>
      <c r="CS60" s="316"/>
      <c r="CT60" s="316"/>
      <c r="CU60" s="316"/>
      <c r="CV60" s="316"/>
      <c r="CW60" s="316"/>
      <c r="CX60" s="316"/>
      <c r="CY60" s="316"/>
      <c r="CZ60" s="316"/>
      <c r="DA60" s="316"/>
      <c r="DB60" s="316"/>
      <c r="DC60" s="316"/>
      <c r="DD60" s="316"/>
      <c r="DE60" s="316"/>
      <c r="DF60" s="316"/>
      <c r="DG60" s="316"/>
      <c r="DH60" s="316"/>
      <c r="DI60" s="316"/>
      <c r="DJ60" s="316"/>
      <c r="DK60" s="316"/>
      <c r="DL60" s="316"/>
      <c r="DM60" s="316"/>
      <c r="DN60" s="316"/>
      <c r="DO60" s="316"/>
      <c r="DP60" s="316"/>
      <c r="DQ60" s="316"/>
      <c r="DR60" s="316"/>
      <c r="DS60" s="316"/>
      <c r="DT60" s="316"/>
      <c r="DU60" s="316"/>
      <c r="DV60" s="316"/>
      <c r="DW60" s="316"/>
      <c r="DX60" s="316"/>
      <c r="DY60" s="316"/>
      <c r="DZ60" s="316"/>
      <c r="EA60" s="316"/>
      <c r="EB60" s="316"/>
      <c r="EC60" s="316"/>
      <c r="ED60" s="316"/>
      <c r="EE60" s="316"/>
      <c r="EF60" s="316"/>
      <c r="EG60" s="316"/>
      <c r="EH60" s="316"/>
      <c r="EI60" s="316"/>
      <c r="EJ60" s="316"/>
      <c r="EK60" s="316"/>
      <c r="EL60" s="316"/>
      <c r="EM60" s="316"/>
      <c r="EN60" s="316"/>
      <c r="EO60" s="316"/>
      <c r="EP60" s="316"/>
      <c r="EQ60" s="316"/>
      <c r="ER60" s="316"/>
      <c r="ES60" s="316"/>
      <c r="ET60" s="316"/>
      <c r="EU60" s="316"/>
      <c r="EV60" s="316"/>
      <c r="EW60" s="316"/>
      <c r="EX60" s="316"/>
      <c r="EY60" s="316"/>
      <c r="EZ60" s="316"/>
      <c r="FA60" s="316"/>
      <c r="FB60" s="316"/>
      <c r="FC60" s="316"/>
      <c r="FD60" s="316"/>
      <c r="FE60" s="316"/>
      <c r="FF60" s="316"/>
      <c r="FG60" s="316"/>
      <c r="FH60" s="316"/>
      <c r="FI60" s="316"/>
      <c r="FJ60" s="316"/>
      <c r="FK60" s="316"/>
      <c r="FL60" s="316"/>
      <c r="FM60" s="316"/>
      <c r="FN60" s="316"/>
      <c r="FO60" s="316"/>
      <c r="FP60" s="316"/>
      <c r="FQ60" s="316"/>
      <c r="FR60" s="316"/>
      <c r="FS60" s="316"/>
      <c r="FT60" s="316"/>
      <c r="FU60" s="316"/>
      <c r="FV60" s="316"/>
      <c r="FW60" s="316"/>
      <c r="FX60" s="316"/>
      <c r="FY60" s="316"/>
      <c r="FZ60" s="316"/>
      <c r="GA60" s="316"/>
      <c r="GB60" s="316"/>
      <c r="GC60" s="316"/>
      <c r="GD60" s="316"/>
      <c r="GE60" s="316"/>
      <c r="GF60" s="316"/>
      <c r="GG60" s="316"/>
      <c r="GH60" s="316"/>
      <c r="GI60" s="316"/>
      <c r="GJ60" s="316"/>
      <c r="GK60" s="316"/>
      <c r="GL60" s="316"/>
      <c r="GM60" s="316"/>
      <c r="GN60" s="316"/>
      <c r="GO60" s="316"/>
      <c r="GP60" s="316"/>
      <c r="GQ60" s="316"/>
      <c r="GR60" s="316"/>
      <c r="GS60" s="316"/>
      <c r="GT60" s="316"/>
      <c r="GU60" s="316"/>
      <c r="GV60" s="316"/>
      <c r="GW60" s="316"/>
      <c r="GX60" s="316"/>
      <c r="GY60" s="316"/>
      <c r="GZ60" s="316"/>
      <c r="HA60" s="316"/>
      <c r="HB60" s="316"/>
      <c r="HC60" s="316"/>
      <c r="HD60" s="316"/>
      <c r="HE60" s="316"/>
      <c r="HF60" s="316"/>
      <c r="HG60" s="316"/>
      <c r="HH60" s="316"/>
      <c r="HI60" s="316"/>
      <c r="HJ60" s="316"/>
      <c r="HK60" s="316"/>
      <c r="HL60" s="316"/>
      <c r="HM60" s="316"/>
    </row>
    <row r="61" spans="1:221" x14ac:dyDescent="0.25">
      <c r="A61" s="340" t="s">
        <v>251</v>
      </c>
      <c r="B61" s="316"/>
      <c r="C61" s="316"/>
      <c r="D61" s="339"/>
      <c r="E61" s="338" t="s">
        <v>114</v>
      </c>
      <c r="F61" s="337" t="s">
        <v>8</v>
      </c>
      <c r="G61" s="265"/>
      <c r="H61" s="265"/>
      <c r="I61" s="265">
        <f>'Rider Rates'!$B$137</f>
        <v>0</v>
      </c>
      <c r="J61" s="265">
        <f>SUM(G61:I61)</f>
        <v>0</v>
      </c>
      <c r="K61" s="336"/>
      <c r="L61" s="209"/>
      <c r="M61" s="209"/>
      <c r="N61" s="209">
        <f>J61</f>
        <v>0</v>
      </c>
      <c r="O61" s="209">
        <f t="shared" si="1"/>
        <v>0</v>
      </c>
      <c r="P61" s="266">
        <f>'Rider Rates'!$D$137</f>
        <v>44531</v>
      </c>
      <c r="Q61" s="334"/>
      <c r="R61" s="107"/>
      <c r="S61" s="333"/>
      <c r="T61" s="109"/>
      <c r="U61" s="316"/>
      <c r="V61" s="332"/>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6"/>
      <c r="BX61" s="316"/>
      <c r="BY61" s="316"/>
      <c r="BZ61" s="316"/>
      <c r="CA61" s="316"/>
      <c r="CB61" s="316"/>
      <c r="CC61" s="316"/>
      <c r="CD61" s="316"/>
      <c r="CE61" s="316"/>
      <c r="CF61" s="316"/>
      <c r="CG61" s="316"/>
      <c r="CH61" s="316"/>
      <c r="CI61" s="316"/>
      <c r="CJ61" s="316"/>
      <c r="CK61" s="316"/>
      <c r="CL61" s="316"/>
      <c r="CM61" s="316"/>
      <c r="CN61" s="316"/>
      <c r="CO61" s="316"/>
      <c r="CP61" s="316"/>
      <c r="CQ61" s="316"/>
      <c r="CR61" s="316"/>
      <c r="CS61" s="316"/>
      <c r="CT61" s="316"/>
      <c r="CU61" s="316"/>
      <c r="CV61" s="316"/>
      <c r="CW61" s="316"/>
      <c r="CX61" s="316"/>
      <c r="CY61" s="316"/>
      <c r="CZ61" s="316"/>
      <c r="DA61" s="316"/>
      <c r="DB61" s="316"/>
      <c r="DC61" s="316"/>
      <c r="DD61" s="316"/>
      <c r="DE61" s="316"/>
      <c r="DF61" s="316"/>
      <c r="DG61" s="316"/>
      <c r="DH61" s="316"/>
      <c r="DI61" s="316"/>
      <c r="DJ61" s="316"/>
      <c r="DK61" s="316"/>
      <c r="DL61" s="316"/>
      <c r="DM61" s="316"/>
      <c r="DN61" s="316"/>
      <c r="DO61" s="316"/>
      <c r="DP61" s="316"/>
      <c r="DQ61" s="316"/>
      <c r="DR61" s="316"/>
      <c r="DS61" s="316"/>
      <c r="DT61" s="316"/>
      <c r="DU61" s="316"/>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316"/>
      <c r="FO61" s="316"/>
      <c r="FP61" s="316"/>
      <c r="FQ61" s="316"/>
      <c r="FR61" s="316"/>
      <c r="FS61" s="316"/>
      <c r="FT61" s="316"/>
      <c r="FU61" s="316"/>
      <c r="FV61" s="316"/>
      <c r="FW61" s="316"/>
      <c r="FX61" s="316"/>
      <c r="FY61" s="316"/>
      <c r="FZ61" s="316"/>
      <c r="GA61" s="316"/>
      <c r="GB61" s="316"/>
      <c r="GC61" s="316"/>
      <c r="GD61" s="316"/>
      <c r="GE61" s="316"/>
      <c r="GF61" s="316"/>
      <c r="GG61" s="316"/>
      <c r="GH61" s="316"/>
      <c r="GI61" s="316"/>
      <c r="GJ61" s="316"/>
      <c r="GK61" s="316"/>
      <c r="GL61" s="316"/>
      <c r="GM61" s="316"/>
      <c r="GN61" s="316"/>
      <c r="GO61" s="316"/>
      <c r="GP61" s="316"/>
      <c r="GQ61" s="316"/>
      <c r="GR61" s="316"/>
      <c r="GS61" s="316"/>
      <c r="GT61" s="316"/>
      <c r="GU61" s="316"/>
      <c r="GV61" s="316"/>
      <c r="GW61" s="316"/>
      <c r="GX61" s="316"/>
      <c r="GY61" s="316"/>
      <c r="GZ61" s="316"/>
      <c r="HA61" s="316"/>
      <c r="HB61" s="316"/>
      <c r="HC61" s="316"/>
      <c r="HD61" s="316"/>
      <c r="HE61" s="316"/>
      <c r="HF61" s="316"/>
      <c r="HG61" s="316"/>
      <c r="HH61" s="316"/>
      <c r="HI61" s="316"/>
      <c r="HJ61" s="316"/>
      <c r="HK61" s="316"/>
      <c r="HL61" s="316"/>
      <c r="HM61" s="316"/>
    </row>
    <row r="62" spans="1:221" x14ac:dyDescent="0.25">
      <c r="A62" s="340" t="s">
        <v>253</v>
      </c>
      <c r="B62" s="316"/>
      <c r="C62" s="316"/>
      <c r="D62" s="339"/>
      <c r="E62" s="338"/>
      <c r="F62" s="337"/>
      <c r="G62" s="265"/>
      <c r="H62" s="265"/>
      <c r="I62" s="265"/>
      <c r="J62" s="265"/>
      <c r="K62" s="336"/>
      <c r="L62" s="209"/>
      <c r="M62" s="209"/>
      <c r="N62" s="209"/>
      <c r="O62" s="209"/>
      <c r="P62" s="335"/>
      <c r="Q62" s="334"/>
      <c r="R62" s="107"/>
      <c r="S62" s="333"/>
      <c r="T62" s="109"/>
      <c r="U62" s="316"/>
      <c r="V62" s="332"/>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16"/>
      <c r="DF62" s="316"/>
      <c r="DG62" s="316"/>
      <c r="DH62" s="316"/>
      <c r="DI62" s="316"/>
      <c r="DJ62" s="316"/>
      <c r="DK62" s="316"/>
      <c r="DL62" s="316"/>
      <c r="DM62" s="316"/>
      <c r="DN62" s="316"/>
      <c r="DO62" s="316"/>
      <c r="DP62" s="316"/>
      <c r="DQ62" s="316"/>
      <c r="DR62" s="316"/>
      <c r="DS62" s="316"/>
      <c r="DT62" s="316"/>
      <c r="DU62" s="316"/>
      <c r="DV62" s="316"/>
      <c r="DW62" s="316"/>
      <c r="DX62" s="316"/>
      <c r="DY62" s="316"/>
      <c r="DZ62" s="316"/>
      <c r="EA62" s="316"/>
      <c r="EB62" s="316"/>
      <c r="EC62" s="316"/>
      <c r="ED62" s="316"/>
      <c r="EE62" s="316"/>
      <c r="EF62" s="316"/>
      <c r="EG62" s="316"/>
      <c r="EH62" s="316"/>
      <c r="EI62" s="316"/>
      <c r="EJ62" s="316"/>
      <c r="EK62" s="316"/>
      <c r="EL62" s="316"/>
      <c r="EM62" s="316"/>
      <c r="EN62" s="316"/>
      <c r="EO62" s="316"/>
      <c r="EP62" s="316"/>
      <c r="EQ62" s="316"/>
      <c r="ER62" s="316"/>
      <c r="ES62" s="316"/>
      <c r="ET62" s="316"/>
      <c r="EU62" s="316"/>
      <c r="EV62" s="316"/>
      <c r="EW62" s="316"/>
      <c r="EX62" s="316"/>
      <c r="EY62" s="316"/>
      <c r="EZ62" s="316"/>
      <c r="FA62" s="316"/>
      <c r="FB62" s="316"/>
      <c r="FC62" s="316"/>
      <c r="FD62" s="316"/>
      <c r="FE62" s="316"/>
      <c r="FF62" s="316"/>
      <c r="FG62" s="316"/>
      <c r="FH62" s="316"/>
      <c r="FI62" s="316"/>
      <c r="FJ62" s="316"/>
      <c r="FK62" s="316"/>
      <c r="FL62" s="316"/>
      <c r="FM62" s="316"/>
      <c r="FN62" s="316"/>
      <c r="FO62" s="316"/>
      <c r="FP62" s="316"/>
      <c r="FQ62" s="316"/>
      <c r="FR62" s="316"/>
      <c r="FS62" s="316"/>
      <c r="FT62" s="316"/>
      <c r="FU62" s="316"/>
      <c r="FV62" s="316"/>
      <c r="FW62" s="316"/>
      <c r="FX62" s="316"/>
      <c r="FY62" s="316"/>
      <c r="FZ62" s="316"/>
      <c r="GA62" s="316"/>
      <c r="GB62" s="316"/>
      <c r="GC62" s="316"/>
      <c r="GD62" s="316"/>
      <c r="GE62" s="316"/>
      <c r="GF62" s="316"/>
      <c r="GG62" s="316"/>
      <c r="GH62" s="316"/>
      <c r="GI62" s="316"/>
      <c r="GJ62" s="316"/>
      <c r="GK62" s="316"/>
      <c r="GL62" s="316"/>
      <c r="GM62" s="316"/>
      <c r="GN62" s="316"/>
      <c r="GO62" s="316"/>
      <c r="GP62" s="316"/>
      <c r="GQ62" s="316"/>
      <c r="GR62" s="316"/>
      <c r="GS62" s="316"/>
      <c r="GT62" s="316"/>
      <c r="GU62" s="316"/>
      <c r="GV62" s="316"/>
      <c r="GW62" s="316"/>
      <c r="GX62" s="316"/>
      <c r="GY62" s="316"/>
      <c r="GZ62" s="316"/>
      <c r="HA62" s="316"/>
      <c r="HB62" s="316"/>
      <c r="HC62" s="316"/>
      <c r="HD62" s="316"/>
      <c r="HE62" s="316"/>
      <c r="HF62" s="316"/>
      <c r="HG62" s="316"/>
      <c r="HH62" s="316"/>
      <c r="HI62" s="316"/>
      <c r="HJ62" s="316"/>
      <c r="HK62" s="316"/>
      <c r="HL62" s="316"/>
      <c r="HM62" s="316"/>
    </row>
    <row r="63" spans="1:221" ht="13" x14ac:dyDescent="0.3">
      <c r="A63" s="331" t="s">
        <v>70</v>
      </c>
      <c r="B63" s="330"/>
      <c r="C63" s="330"/>
      <c r="D63" s="329"/>
      <c r="E63" s="328"/>
      <c r="F63" s="327"/>
      <c r="G63" s="327"/>
      <c r="H63" s="327"/>
      <c r="I63" s="327"/>
      <c r="J63" s="327"/>
      <c r="K63" s="326"/>
      <c r="L63" s="325">
        <f>SUM(L34:L62)</f>
        <v>0</v>
      </c>
      <c r="M63" s="325">
        <f>SUM(M34:M62)</f>
        <v>0</v>
      </c>
      <c r="N63" s="325">
        <f>SUM(N34:N62)</f>
        <v>24.659999999999997</v>
      </c>
      <c r="O63" s="325">
        <f>SUM(O34:O62)</f>
        <v>24.659999999999997</v>
      </c>
      <c r="P63" s="324"/>
    </row>
    <row r="64" spans="1:221" ht="13" x14ac:dyDescent="0.3">
      <c r="A64" s="304"/>
      <c r="D64" s="323"/>
      <c r="E64" s="322"/>
      <c r="F64" s="309"/>
      <c r="G64" s="42"/>
      <c r="H64" s="42"/>
      <c r="I64" s="42"/>
      <c r="J64" s="42"/>
      <c r="K64" s="313"/>
      <c r="L64" s="313"/>
      <c r="M64" s="313"/>
      <c r="N64" s="313"/>
      <c r="O64" s="34"/>
      <c r="P64" s="313"/>
    </row>
    <row r="65" spans="1:16" ht="13" x14ac:dyDescent="0.3">
      <c r="A65" s="378" t="s">
        <v>71</v>
      </c>
      <c r="B65" s="321"/>
      <c r="C65" s="321"/>
      <c r="D65" s="321"/>
      <c r="E65" s="321"/>
      <c r="F65" s="321"/>
      <c r="G65" s="321"/>
      <c r="H65" s="321"/>
      <c r="I65" s="321"/>
      <c r="J65" s="321"/>
      <c r="K65" s="321"/>
      <c r="L65" s="98">
        <f>L30+L63</f>
        <v>0</v>
      </c>
      <c r="M65" s="98">
        <f>M30+M63</f>
        <v>0</v>
      </c>
      <c r="N65" s="98">
        <f>N30+N63</f>
        <v>34.059999999999995</v>
      </c>
      <c r="O65" s="98">
        <f>O30+O63</f>
        <v>34.059999999999995</v>
      </c>
      <c r="P65" s="98"/>
    </row>
    <row r="66" spans="1:16" ht="13" x14ac:dyDescent="0.3">
      <c r="A66" s="304"/>
      <c r="B66" s="304"/>
      <c r="C66" s="304"/>
      <c r="D66" s="304"/>
      <c r="E66" s="304"/>
      <c r="F66" s="304"/>
      <c r="G66" s="304"/>
      <c r="H66" s="304"/>
      <c r="I66" s="304"/>
      <c r="J66" s="304"/>
      <c r="K66" s="304"/>
      <c r="L66" s="304"/>
      <c r="M66" s="304"/>
      <c r="N66" s="304"/>
      <c r="O66" s="40"/>
      <c r="P66" s="40"/>
    </row>
    <row r="67" spans="1:16" ht="13" x14ac:dyDescent="0.3">
      <c r="A67" s="304" t="s">
        <v>37</v>
      </c>
      <c r="B67" s="304"/>
      <c r="C67" s="304"/>
      <c r="D67" s="304"/>
      <c r="E67" s="304"/>
      <c r="F67" s="304"/>
      <c r="G67" s="304"/>
      <c r="H67" s="304"/>
      <c r="I67" s="304"/>
      <c r="J67" s="304"/>
      <c r="K67" s="304"/>
      <c r="L67" s="304"/>
      <c r="M67" s="304"/>
      <c r="N67" s="304"/>
      <c r="O67" s="45">
        <f>O26+O28+O63</f>
        <v>34.059999999999995</v>
      </c>
      <c r="P67" s="320">
        <v>40967</v>
      </c>
    </row>
    <row r="68" spans="1:16" ht="13" x14ac:dyDescent="0.3">
      <c r="A68" s="304"/>
      <c r="B68" s="304"/>
      <c r="C68" s="304"/>
      <c r="D68" s="304"/>
      <c r="E68" s="304"/>
      <c r="F68" s="304"/>
      <c r="G68" s="314"/>
      <c r="H68" s="314"/>
      <c r="I68" s="314"/>
      <c r="J68" s="314"/>
      <c r="K68" s="313"/>
      <c r="L68" s="313"/>
      <c r="M68" s="313"/>
      <c r="N68" s="313"/>
      <c r="O68" s="40"/>
    </row>
    <row r="69" spans="1:16" ht="13" x14ac:dyDescent="0.3">
      <c r="A69" s="307" t="s">
        <v>116</v>
      </c>
      <c r="B69" s="304"/>
      <c r="C69" s="304"/>
      <c r="D69" s="304"/>
      <c r="E69" s="304"/>
      <c r="F69" s="304"/>
      <c r="G69" s="314"/>
      <c r="H69" s="314"/>
      <c r="I69" s="314"/>
      <c r="J69" s="314"/>
      <c r="K69" s="313"/>
      <c r="L69" s="313"/>
      <c r="M69" s="313"/>
      <c r="N69" s="313"/>
      <c r="O69" s="138">
        <f>MAX($O$65,$O$67)</f>
        <v>34.059999999999995</v>
      </c>
    </row>
    <row r="70" spans="1:16" ht="13" x14ac:dyDescent="0.3">
      <c r="A70" s="304"/>
      <c r="B70" s="304"/>
      <c r="C70" s="304"/>
      <c r="D70" s="304"/>
      <c r="E70" s="304"/>
      <c r="F70" s="304"/>
      <c r="G70" s="314"/>
      <c r="H70" s="314"/>
      <c r="I70" s="314"/>
      <c r="J70" s="314"/>
      <c r="K70" s="313"/>
      <c r="L70" s="313"/>
      <c r="M70" s="313"/>
      <c r="N70" s="313"/>
      <c r="O70" s="40"/>
    </row>
    <row r="71" spans="1:16" ht="13" x14ac:dyDescent="0.3">
      <c r="A71" s="304"/>
      <c r="B71" s="304"/>
      <c r="C71" s="304"/>
      <c r="D71" s="304"/>
      <c r="E71" s="304"/>
      <c r="F71" s="304"/>
      <c r="G71" s="306" t="s">
        <v>85</v>
      </c>
      <c r="H71" s="314"/>
      <c r="I71" s="304"/>
      <c r="J71" s="314"/>
      <c r="K71" s="313"/>
      <c r="L71" s="319"/>
      <c r="M71" s="319"/>
      <c r="N71" s="319"/>
      <c r="O71" s="319">
        <f>ROUND(IF($C$16&lt;1,0,$O$69/($C$16*100)*10000),2)</f>
        <v>0</v>
      </c>
      <c r="P71" s="304" t="s">
        <v>86</v>
      </c>
    </row>
    <row r="72" spans="1:16" ht="13" x14ac:dyDescent="0.3">
      <c r="A72" s="304"/>
      <c r="B72" s="304"/>
      <c r="C72" s="304"/>
      <c r="D72" s="304"/>
      <c r="E72" s="304"/>
      <c r="F72" s="304"/>
      <c r="G72" s="318" t="s">
        <v>199</v>
      </c>
      <c r="H72" s="136"/>
      <c r="I72" s="303"/>
      <c r="J72" s="136"/>
      <c r="K72" s="317"/>
      <c r="L72" s="316"/>
      <c r="M72" s="316"/>
      <c r="N72" s="316"/>
      <c r="O72" s="315">
        <f>ROUND(IF($C$16&lt;1,0,(L65)/($C$16*100)*10000),2)</f>
        <v>0</v>
      </c>
      <c r="P72" s="301" t="s">
        <v>86</v>
      </c>
    </row>
    <row r="73" spans="1:16" ht="13" x14ac:dyDescent="0.3">
      <c r="A73" s="304"/>
      <c r="B73" s="304"/>
      <c r="C73" s="304"/>
      <c r="D73" s="304"/>
      <c r="E73" s="304"/>
      <c r="F73" s="304"/>
      <c r="G73" s="306"/>
      <c r="H73" s="314"/>
      <c r="I73" s="306"/>
      <c r="J73" s="314"/>
      <c r="K73" s="313"/>
      <c r="L73" s="313"/>
      <c r="M73" s="313"/>
      <c r="N73" s="313"/>
      <c r="O73" s="130"/>
      <c r="P73" s="304"/>
    </row>
    <row r="74" spans="1:16" ht="20.25" customHeight="1" x14ac:dyDescent="0.4">
      <c r="A74" s="310"/>
      <c r="B74" s="304"/>
      <c r="C74" s="304"/>
      <c r="D74" s="228" t="s">
        <v>15</v>
      </c>
      <c r="E74" s="310"/>
      <c r="F74" s="309"/>
      <c r="G74" s="312"/>
      <c r="H74" s="308"/>
      <c r="I74" s="34"/>
      <c r="J74" s="308"/>
      <c r="K74" s="304"/>
      <c r="L74" s="304"/>
      <c r="M74" s="304"/>
      <c r="N74" s="34"/>
    </row>
    <row r="75" spans="1:16" ht="13" x14ac:dyDescent="0.3">
      <c r="A75" s="304"/>
      <c r="B75" s="304"/>
      <c r="C75" s="304"/>
      <c r="D75" s="311"/>
      <c r="E75" s="310"/>
      <c r="F75" s="309"/>
      <c r="G75" s="308"/>
      <c r="H75" s="308"/>
      <c r="I75" s="93"/>
      <c r="J75" s="308"/>
      <c r="K75" s="304"/>
      <c r="L75" s="304"/>
      <c r="M75" s="304"/>
      <c r="N75" s="304"/>
      <c r="O75" s="40"/>
    </row>
    <row r="76" spans="1:16" ht="13" x14ac:dyDescent="0.3">
      <c r="A76" s="304"/>
      <c r="B76" s="304"/>
      <c r="C76" s="304"/>
      <c r="D76" s="311"/>
      <c r="E76" s="310"/>
      <c r="F76" s="309"/>
      <c r="G76" s="308"/>
      <c r="H76" s="308"/>
      <c r="I76" s="308"/>
      <c r="J76" s="308"/>
      <c r="K76" s="304"/>
      <c r="L76" s="304"/>
      <c r="M76" s="304"/>
      <c r="N76" s="304"/>
      <c r="O76" s="40"/>
    </row>
    <row r="77" spans="1:16" ht="13" x14ac:dyDescent="0.3">
      <c r="A77" s="307"/>
      <c r="B77" s="304"/>
      <c r="C77" s="304"/>
      <c r="D77" s="304"/>
      <c r="E77" s="304"/>
      <c r="F77" s="304"/>
      <c r="G77" s="304"/>
      <c r="H77" s="304"/>
      <c r="J77" s="304"/>
      <c r="K77" s="304"/>
      <c r="L77" s="40"/>
      <c r="M77" s="40"/>
      <c r="N77" s="40"/>
      <c r="O77" s="138"/>
    </row>
    <row r="78" spans="1:16" ht="13" x14ac:dyDescent="0.3">
      <c r="B78" s="304"/>
      <c r="C78" s="304"/>
      <c r="D78" s="304"/>
      <c r="E78" s="304"/>
      <c r="F78" s="304"/>
      <c r="G78" s="306"/>
      <c r="H78" s="304"/>
      <c r="I78" s="304"/>
      <c r="J78" s="304"/>
      <c r="K78" s="304"/>
      <c r="L78" s="305"/>
      <c r="M78" s="305"/>
      <c r="N78" s="305"/>
      <c r="O78" s="130"/>
      <c r="P78" s="304"/>
    </row>
    <row r="79" spans="1:16" ht="13" x14ac:dyDescent="0.3">
      <c r="G79" s="303"/>
      <c r="H79" s="302"/>
      <c r="I79" s="303"/>
      <c r="J79" s="302"/>
      <c r="K79" s="302"/>
      <c r="L79" s="134"/>
      <c r="M79" s="134"/>
      <c r="N79" s="134"/>
      <c r="O79" s="135"/>
      <c r="P79" s="301"/>
    </row>
    <row r="81" spans="1:1" x14ac:dyDescent="0.25">
      <c r="A81" s="458"/>
    </row>
    <row r="82" spans="1:1" x14ac:dyDescent="0.25">
      <c r="A82" s="458"/>
    </row>
    <row r="83" spans="1:1" x14ac:dyDescent="0.25">
      <c r="A83" s="458"/>
    </row>
    <row r="84" spans="1:1" x14ac:dyDescent="0.25">
      <c r="A84" s="458"/>
    </row>
    <row r="85" spans="1:1" x14ac:dyDescent="0.25">
      <c r="A85" s="458"/>
    </row>
    <row r="86" spans="1:1" x14ac:dyDescent="0.25">
      <c r="A86" s="458"/>
    </row>
    <row r="87" spans="1:1" x14ac:dyDescent="0.25">
      <c r="A87" s="458"/>
    </row>
    <row r="88" spans="1:1" x14ac:dyDescent="0.25">
      <c r="A88" s="458"/>
    </row>
    <row r="89" spans="1:1" x14ac:dyDescent="0.25">
      <c r="A89" s="458"/>
    </row>
    <row r="90" spans="1:1" x14ac:dyDescent="0.25">
      <c r="A90" s="458"/>
    </row>
    <row r="91" spans="1:1" x14ac:dyDescent="0.25">
      <c r="A91" s="458"/>
    </row>
    <row r="92" spans="1:1" x14ac:dyDescent="0.25">
      <c r="A92" s="458"/>
    </row>
    <row r="93" spans="1:1" x14ac:dyDescent="0.25">
      <c r="A93" s="458"/>
    </row>
    <row r="94" spans="1:1" x14ac:dyDescent="0.25">
      <c r="A94" s="458"/>
    </row>
    <row r="95" spans="1:1" x14ac:dyDescent="0.25">
      <c r="A95" s="458"/>
    </row>
  </sheetData>
  <sheetProtection algorithmName="SHA-512" hashValue="w2tfECSUkX3mVoVe9UTi9ohUDjeGTTc3IF7j13JRRDvtoM8EZ9nDbZq4FO3OMS6Bg79xQ4X4Yz9185srt/GvYw==" saltValue="Dq8JShoMlikpJ7/ylvy8yQ==" spinCount="100000" sheet="1" objects="1" scenarios="1"/>
  <mergeCells count="26">
    <mergeCell ref="A81:A95"/>
    <mergeCell ref="D22:H22"/>
    <mergeCell ref="G24:J24"/>
    <mergeCell ref="A2:P2"/>
    <mergeCell ref="A1:P1"/>
    <mergeCell ref="A3:P3"/>
    <mergeCell ref="A4:P4"/>
    <mergeCell ref="L24:O24"/>
    <mergeCell ref="A11:I11"/>
    <mergeCell ref="D21:H21"/>
    <mergeCell ref="HA2:HP2"/>
    <mergeCell ref="HQ2:IF2"/>
    <mergeCell ref="IG2:IV2"/>
    <mergeCell ref="A7:P7"/>
    <mergeCell ref="EO2:FD2"/>
    <mergeCell ref="FE2:FT2"/>
    <mergeCell ref="FU2:GJ2"/>
    <mergeCell ref="GK2:GZ2"/>
    <mergeCell ref="CC2:CR2"/>
    <mergeCell ref="CS2:DH2"/>
    <mergeCell ref="DI2:DX2"/>
    <mergeCell ref="DY2:EN2"/>
    <mergeCell ref="Q2:AF2"/>
    <mergeCell ref="AG2:AV2"/>
    <mergeCell ref="AW2:BL2"/>
    <mergeCell ref="BM2:CB2"/>
  </mergeCells>
  <printOptions horizontalCentered="1"/>
  <pageMargins left="0.5" right="0.5" top="0.25" bottom="0.25" header="0.25" footer="0.26"/>
  <pageSetup scale="55" orientation="landscape" r:id="rId1"/>
  <headerFooter alignWithMargins="0"/>
  <rowBreaks count="1" manualBreakCount="1">
    <brk id="7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158722" r:id="rId5" name="Button 2">
              <controlPr defaultSize="0" print="0" autoFill="0" autoPict="0" macro="[0]!Info">
                <anchor moveWithCells="1">
                  <from>
                    <xdr:col>15</xdr:col>
                    <xdr:colOff>279400</xdr:colOff>
                    <xdr:row>89</xdr:row>
                    <xdr:rowOff>50800</xdr:rowOff>
                  </from>
                  <to>
                    <xdr:col>16</xdr:col>
                    <xdr:colOff>31750</xdr:colOff>
                    <xdr:row>90</xdr:row>
                    <xdr:rowOff>95250</xdr:rowOff>
                  </to>
                </anchor>
              </controlPr>
            </control>
          </mc:Choice>
        </mc:AlternateContent>
        <mc:AlternateContent xmlns:mc="http://schemas.openxmlformats.org/markup-compatibility/2006">
          <mc:Choice Requires="x14">
            <control shapeId="158723"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58724"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58725"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58726"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58727"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58728"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58729"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58730"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58731"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58732"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58733"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58734"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58735"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58736"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58737"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58738"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58739"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58740"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58741"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58742"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58743"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58744"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58745"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58746"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58747"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58748"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58749"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58750"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58751"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58752"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58753"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58754"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58755"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58756"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58757"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58758"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58759"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58760"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58761"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58762"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58763"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58764"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58765"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58766"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58767"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58768"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58769"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58770"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58771"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58772"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58773"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58774"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58775"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58776"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58777"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58778"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1">
    <pageSetUpPr fitToPage="1"/>
  </sheetPr>
  <dimension ref="A1:IV95"/>
  <sheetViews>
    <sheetView showGridLines="0" topLeftCell="A3" zoomScale="80" zoomScaleNormal="80" workbookViewId="0">
      <selection activeCell="D28" sqref="D28"/>
    </sheetView>
  </sheetViews>
  <sheetFormatPr defaultRowHeight="12.5" x14ac:dyDescent="0.25"/>
  <cols>
    <col min="1" max="1" width="31" customWidth="1"/>
    <col min="2" max="2" width="2.1796875" customWidth="1"/>
    <col min="3" max="3" width="19.26953125" customWidth="1"/>
    <col min="4" max="4" width="15.26953125" customWidth="1"/>
    <col min="5" max="5" width="9.81640625" customWidth="1"/>
    <col min="6" max="6" width="3.7265625" customWidth="1"/>
    <col min="7" max="8" width="13.26953125" customWidth="1"/>
    <col min="9" max="9" width="14.54296875" customWidth="1"/>
    <col min="10" max="10" width="13.26953125" customWidth="1"/>
    <col min="11" max="11" width="7" customWidth="1"/>
    <col min="12" max="12" width="15.1796875" customWidth="1"/>
    <col min="13" max="14" width="14.453125" customWidth="1"/>
    <col min="15" max="15" width="16.26953125" bestFit="1" customWidth="1"/>
    <col min="16" max="16" width="13.81640625" bestFit="1" customWidth="1"/>
    <col min="18" max="26" width="9.1796875" hidden="1" customWidth="1"/>
    <col min="27" max="27" width="10.54296875" hidden="1" customWidth="1"/>
    <col min="28" max="29" width="9.1796875" hidden="1" customWidth="1"/>
    <col min="30" max="30" width="10" hidden="1" customWidth="1"/>
    <col min="31" max="31" width="0" hidden="1" customWidth="1"/>
  </cols>
  <sheetData>
    <row r="1" spans="1:256" ht="20" x14ac:dyDescent="0.4">
      <c r="A1" s="451" t="s">
        <v>119</v>
      </c>
      <c r="B1" s="451"/>
      <c r="C1" s="451"/>
      <c r="D1" s="451"/>
      <c r="E1" s="451"/>
      <c r="F1" s="451"/>
      <c r="G1" s="451"/>
      <c r="H1" s="451"/>
      <c r="I1" s="451"/>
      <c r="J1" s="451"/>
      <c r="K1" s="451"/>
      <c r="L1" s="451"/>
      <c r="M1" s="451"/>
      <c r="N1" s="451"/>
      <c r="O1" s="451"/>
      <c r="P1" s="451"/>
    </row>
    <row r="2" spans="1:256" ht="20" x14ac:dyDescent="0.4">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436"/>
      <c r="HZ2" s="436"/>
      <c r="IA2" s="436"/>
      <c r="IB2" s="436"/>
      <c r="IC2" s="436"/>
      <c r="ID2" s="436"/>
      <c r="IE2" s="436"/>
      <c r="IF2" s="436"/>
      <c r="IG2" s="436"/>
      <c r="IH2" s="436"/>
      <c r="II2" s="436"/>
      <c r="IJ2" s="436"/>
      <c r="IK2" s="436"/>
      <c r="IL2" s="436"/>
      <c r="IM2" s="436"/>
      <c r="IN2" s="436"/>
      <c r="IO2" s="436"/>
      <c r="IP2" s="436"/>
      <c r="IQ2" s="436"/>
      <c r="IR2" s="436"/>
      <c r="IS2" s="436"/>
      <c r="IT2" s="436"/>
      <c r="IU2" s="436"/>
      <c r="IV2" s="436"/>
    </row>
    <row r="3" spans="1:256" ht="18" x14ac:dyDescent="0.4">
      <c r="A3" s="452" t="s">
        <v>274</v>
      </c>
      <c r="B3" s="452"/>
      <c r="C3" s="452"/>
      <c r="D3" s="452"/>
      <c r="E3" s="452"/>
      <c r="F3" s="452"/>
      <c r="G3" s="452"/>
      <c r="H3" s="452"/>
      <c r="I3" s="452"/>
      <c r="J3" s="452"/>
      <c r="K3" s="452"/>
      <c r="L3" s="452"/>
      <c r="M3" s="452"/>
      <c r="N3" s="452"/>
      <c r="O3" s="452"/>
      <c r="P3" s="452"/>
    </row>
    <row r="4" spans="1:256"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256" ht="15.5" x14ac:dyDescent="0.35">
      <c r="A5" s="75"/>
      <c r="B5" s="75"/>
      <c r="C5" s="75"/>
      <c r="D5" s="75"/>
      <c r="E5" s="75"/>
      <c r="F5" s="75"/>
      <c r="G5" s="75"/>
      <c r="H5" s="75"/>
      <c r="I5" s="75"/>
      <c r="J5" s="75"/>
      <c r="K5" s="75"/>
    </row>
    <row r="6" spans="1:256" x14ac:dyDescent="0.25">
      <c r="A6" s="76">
        <f ca="1">TODAY()</f>
        <v>45378</v>
      </c>
      <c r="B6" s="210" t="s">
        <v>273</v>
      </c>
      <c r="C6" s="276"/>
      <c r="D6" s="276"/>
      <c r="E6" s="276"/>
      <c r="F6" s="276"/>
      <c r="G6" s="276"/>
      <c r="H6" s="276"/>
      <c r="I6" s="276"/>
      <c r="J6" s="276"/>
      <c r="K6" s="276"/>
    </row>
    <row r="7" spans="1:256" ht="25" x14ac:dyDescent="0.5">
      <c r="A7" s="453"/>
      <c r="B7" s="453"/>
      <c r="C7" s="453"/>
      <c r="D7" s="453"/>
      <c r="E7" s="453"/>
      <c r="F7" s="453"/>
      <c r="G7" s="453"/>
      <c r="H7" s="453"/>
      <c r="I7" s="453"/>
      <c r="J7" s="453"/>
      <c r="K7" s="453"/>
      <c r="L7" s="453"/>
      <c r="M7" s="453"/>
      <c r="N7" s="453"/>
      <c r="O7" s="453"/>
      <c r="P7" s="453"/>
    </row>
    <row r="8" spans="1:256" ht="15.5" x14ac:dyDescent="0.35">
      <c r="A8" s="23" t="s">
        <v>2</v>
      </c>
      <c r="B8" s="24"/>
      <c r="C8" s="25">
        <f>'Customer Info'!B7</f>
        <v>0</v>
      </c>
      <c r="I8" s="26"/>
    </row>
    <row r="9" spans="1:256" ht="15.5" x14ac:dyDescent="0.35">
      <c r="A9" s="27" t="s">
        <v>26</v>
      </c>
      <c r="B9" s="24"/>
      <c r="C9" s="25">
        <f>'Customer Info'!B8</f>
        <v>0</v>
      </c>
    </row>
    <row r="10" spans="1:256" ht="13" x14ac:dyDescent="0.3">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3">
      <c r="A11" s="446"/>
      <c r="B11" s="446"/>
      <c r="C11" s="446"/>
      <c r="D11" s="446"/>
      <c r="E11" s="446"/>
      <c r="F11" s="446"/>
      <c r="G11" s="446"/>
      <c r="H11" s="446"/>
      <c r="I11" s="446"/>
      <c r="R11" t="s">
        <v>114</v>
      </c>
      <c r="S11" s="145" t="s">
        <v>101</v>
      </c>
      <c r="T11" s="145" t="s">
        <v>102</v>
      </c>
      <c r="U11" s="145" t="s">
        <v>103</v>
      </c>
      <c r="V11" s="145" t="s">
        <v>104</v>
      </c>
      <c r="W11" s="145" t="s">
        <v>105</v>
      </c>
      <c r="X11" s="145" t="s">
        <v>106</v>
      </c>
      <c r="Y11" s="145" t="s">
        <v>107</v>
      </c>
      <c r="Z11" s="145" t="s">
        <v>108</v>
      </c>
      <c r="AA11" s="145" t="s">
        <v>109</v>
      </c>
      <c r="AB11" s="145" t="s">
        <v>111</v>
      </c>
      <c r="AC11" s="145" t="s">
        <v>110</v>
      </c>
      <c r="AD11" s="145" t="s">
        <v>112</v>
      </c>
    </row>
    <row r="12" spans="1:256" ht="13" x14ac:dyDescent="0.3">
      <c r="A12" s="28" t="s">
        <v>27</v>
      </c>
      <c r="B12" s="22"/>
      <c r="C12" s="22"/>
      <c r="D12" s="22"/>
      <c r="E12" s="22"/>
      <c r="F12" s="22"/>
      <c r="G12" s="22"/>
      <c r="H12" s="22"/>
      <c r="I12" s="22"/>
      <c r="J12" s="22"/>
      <c r="K12" s="22"/>
      <c r="L12" s="22"/>
      <c r="M12" s="22"/>
      <c r="N12" s="22"/>
      <c r="O12" s="22"/>
      <c r="P12" s="22"/>
      <c r="R12" s="3" t="s">
        <v>196</v>
      </c>
      <c r="S12" s="207">
        <f>'Rider Rates'!$C$24</f>
        <v>0.10234</v>
      </c>
      <c r="T12" s="207">
        <f>'Rider Rates'!$C$24</f>
        <v>0.10234</v>
      </c>
      <c r="U12" s="207">
        <f>'Rider Rates'!$C$24</f>
        <v>0.10234</v>
      </c>
      <c r="V12" s="207">
        <f>'Rider Rates'!$C$24</f>
        <v>0.10234</v>
      </c>
      <c r="W12" s="207">
        <f>'Rider Rates'!$C$24</f>
        <v>0.10234</v>
      </c>
      <c r="X12" s="207">
        <f>'Rider Rates'!$B$24</f>
        <v>0.10234</v>
      </c>
      <c r="Y12" s="207">
        <f>'Rider Rates'!$B$24</f>
        <v>0.10234</v>
      </c>
      <c r="Z12" s="207">
        <f>'Rider Rates'!$B$24</f>
        <v>0.10234</v>
      </c>
      <c r="AA12" s="207">
        <f>'Rider Rates'!$B$24</f>
        <v>0.10234</v>
      </c>
      <c r="AB12" s="207">
        <f>'Rider Rates'!$C$24</f>
        <v>0.10234</v>
      </c>
      <c r="AC12" s="207">
        <f>'Rider Rates'!$C$24</f>
        <v>0.10234</v>
      </c>
      <c r="AD12" s="207">
        <f>'Rider Rates'!$C$24</f>
        <v>0.10234</v>
      </c>
      <c r="AE12" s="207"/>
      <c r="AF12" s="207"/>
    </row>
    <row r="13" spans="1:256" x14ac:dyDescent="0.25">
      <c r="A13" s="18"/>
      <c r="B13" s="18"/>
      <c r="C13" s="59" t="s">
        <v>54</v>
      </c>
      <c r="D13" s="59" t="s">
        <v>55</v>
      </c>
      <c r="E13" s="18"/>
      <c r="F13" s="18"/>
      <c r="G13" s="18"/>
      <c r="H13" s="18"/>
      <c r="I13" s="18"/>
      <c r="J13" s="18"/>
      <c r="K13" s="18"/>
      <c r="L13" s="18"/>
      <c r="M13" s="18"/>
      <c r="N13" s="18"/>
      <c r="O13" s="18"/>
    </row>
    <row r="14" spans="1:256" x14ac:dyDescent="0.25">
      <c r="A14" s="29" t="s">
        <v>28</v>
      </c>
      <c r="B14" s="29"/>
      <c r="C14" s="44">
        <f>'Customer Info'!B18</f>
        <v>0</v>
      </c>
      <c r="D14" s="44">
        <f>ROUND(C14*C20,1)</f>
        <v>0</v>
      </c>
      <c r="E14" s="29" t="s">
        <v>45</v>
      </c>
      <c r="F14" s="30"/>
      <c r="G14" s="29" t="s">
        <v>15</v>
      </c>
      <c r="I14" s="53" t="s">
        <v>15</v>
      </c>
      <c r="J14" s="29"/>
      <c r="K14" s="29"/>
      <c r="L14" s="29"/>
      <c r="M14" s="29"/>
      <c r="N14" s="29"/>
    </row>
    <row r="15" spans="1:256" x14ac:dyDescent="0.25">
      <c r="A15" s="31" t="s">
        <v>29</v>
      </c>
      <c r="B15" s="31"/>
      <c r="C15" s="44">
        <f>'Customer Info'!B19</f>
        <v>0</v>
      </c>
      <c r="D15" s="44">
        <f>C15*C20</f>
        <v>0</v>
      </c>
      <c r="E15" s="29" t="s">
        <v>45</v>
      </c>
      <c r="F15" s="33"/>
      <c r="G15" s="31" t="s">
        <v>30</v>
      </c>
      <c r="I15" s="51" t="str">
        <f>IF(MAX(C14,C15)&gt;0,C16/(MAX(C14,C15)*730), " ")</f>
        <v xml:space="preserve"> </v>
      </c>
      <c r="J15" s="31"/>
      <c r="K15" s="31"/>
      <c r="L15" s="31"/>
      <c r="M15" s="31"/>
      <c r="N15" s="31"/>
      <c r="X15" s="207"/>
      <c r="Y15" s="207"/>
      <c r="Z15" s="207"/>
      <c r="AA15" s="207"/>
    </row>
    <row r="16" spans="1:256" x14ac:dyDescent="0.25">
      <c r="A16" s="31" t="s">
        <v>43</v>
      </c>
      <c r="B16" s="31"/>
      <c r="C16" s="32">
        <f>IF('Customer Info'!B21+'Customer Info'!B22-'Customer Info'!B23&lt;0,0,'Customer Info'!B21+'Customer Info'!B22-'Customer Info'!B23)</f>
        <v>0</v>
      </c>
      <c r="D16" s="32">
        <f>C16*C20</f>
        <v>0</v>
      </c>
      <c r="E16" s="31" t="s">
        <v>41</v>
      </c>
      <c r="F16" s="33"/>
      <c r="G16" s="31"/>
      <c r="H16" s="31"/>
      <c r="I16" s="31"/>
      <c r="J16" s="31"/>
      <c r="K16" s="31"/>
      <c r="L16" s="31"/>
      <c r="M16" s="31"/>
      <c r="N16" s="31"/>
      <c r="O16" s="31"/>
    </row>
    <row r="17" spans="1:30" x14ac:dyDescent="0.25">
      <c r="A17" s="31" t="s">
        <v>295</v>
      </c>
      <c r="B17" s="31"/>
      <c r="C17" s="32">
        <f>'Customer Info'!$B$27</f>
        <v>0</v>
      </c>
      <c r="D17" s="32">
        <f>$C$17</f>
        <v>0</v>
      </c>
      <c r="E17" s="31" t="s">
        <v>298</v>
      </c>
      <c r="F17" s="33"/>
      <c r="G17" s="31"/>
      <c r="H17" s="31"/>
      <c r="I17" s="31"/>
      <c r="J17" s="31"/>
      <c r="K17" s="31"/>
      <c r="L17" s="31"/>
      <c r="M17" s="31"/>
      <c r="N17" s="31"/>
      <c r="O17" s="31"/>
    </row>
    <row r="18" spans="1:30" x14ac:dyDescent="0.25">
      <c r="A18" s="31" t="s">
        <v>296</v>
      </c>
      <c r="B18" s="31"/>
      <c r="C18" s="376">
        <f>IF('Customer Info'!$B$18=0,0,ROUND(MAX(ROUND('Customer Info'!$B$18*'GS PRI'!C20,1),ROUND('Customer Info'!$B$19*'GS PRI'!C20,1))/'Customer Info'!$D$29,1))</f>
        <v>0</v>
      </c>
      <c r="D18" s="287">
        <f>$C$18</f>
        <v>0</v>
      </c>
      <c r="E18" s="31" t="s">
        <v>299</v>
      </c>
      <c r="F18" s="33"/>
      <c r="G18" s="31"/>
      <c r="H18" s="31"/>
      <c r="I18" s="31"/>
      <c r="J18" s="31"/>
      <c r="K18" s="31"/>
      <c r="L18" s="31"/>
      <c r="M18" s="31"/>
      <c r="N18" s="31"/>
      <c r="O18" s="31"/>
    </row>
    <row r="19" spans="1:30" x14ac:dyDescent="0.25">
      <c r="A19" s="31" t="s">
        <v>297</v>
      </c>
      <c r="B19" s="31"/>
      <c r="C19" s="32"/>
      <c r="D19" s="376">
        <f>MAX(100,ROUND(1.15*(MAX('Customer Info'!$B$18*'GS PRI'!C20,'Customer Info'!$B$19*'GS PRI'!C20)),1))</f>
        <v>100</v>
      </c>
      <c r="E19" s="31" t="s">
        <v>299</v>
      </c>
      <c r="F19" s="33"/>
      <c r="K19" s="31"/>
      <c r="L19" s="31"/>
      <c r="M19" s="31"/>
      <c r="N19" s="31"/>
    </row>
    <row r="20" spans="1:30" ht="13" x14ac:dyDescent="0.3">
      <c r="A20" s="31" t="s">
        <v>53</v>
      </c>
      <c r="B20" s="31"/>
      <c r="C20" s="58">
        <f>+'Customer Info'!E18</f>
        <v>1</v>
      </c>
      <c r="D20" s="31"/>
      <c r="E20" s="31"/>
      <c r="F20" s="33"/>
      <c r="G20" s="23"/>
      <c r="H20" s="23"/>
      <c r="I20" s="23"/>
      <c r="J20" s="23"/>
      <c r="K20" s="31"/>
      <c r="L20" s="31"/>
      <c r="M20" s="31"/>
      <c r="N20" s="31"/>
      <c r="S20" s="207"/>
      <c r="T20" s="207"/>
      <c r="U20" s="207"/>
      <c r="V20" s="207"/>
      <c r="W20" s="207"/>
      <c r="X20" s="207"/>
      <c r="Y20" s="207"/>
      <c r="Z20" s="207"/>
      <c r="AA20" s="207"/>
      <c r="AB20" s="207"/>
      <c r="AC20" s="207"/>
      <c r="AD20" s="207"/>
    </row>
    <row r="21" spans="1:30" x14ac:dyDescent="0.25">
      <c r="A21" s="31" t="s">
        <v>15</v>
      </c>
      <c r="B21" s="31"/>
      <c r="C21" s="82" t="s">
        <v>15</v>
      </c>
      <c r="D21" s="455" t="s">
        <v>15</v>
      </c>
      <c r="E21" s="455"/>
      <c r="F21" s="455"/>
      <c r="G21" s="455"/>
      <c r="H21" s="455"/>
      <c r="K21" s="31"/>
      <c r="L21" s="31"/>
      <c r="M21" s="31"/>
      <c r="N21" s="31"/>
      <c r="O21" s="50"/>
    </row>
    <row r="22" spans="1:30" ht="13" x14ac:dyDescent="0.3">
      <c r="A22" s="31" t="s">
        <v>15</v>
      </c>
      <c r="B22" s="31"/>
      <c r="C22" s="82" t="s">
        <v>15</v>
      </c>
      <c r="D22" s="455" t="s">
        <v>15</v>
      </c>
      <c r="E22" s="455"/>
      <c r="F22" s="455"/>
      <c r="G22" s="455"/>
      <c r="H22" s="455"/>
      <c r="I22" s="23"/>
      <c r="J22" s="23"/>
      <c r="K22" s="31"/>
      <c r="L22" s="31"/>
      <c r="M22" s="31"/>
      <c r="N22" s="31"/>
      <c r="O22" s="50"/>
    </row>
    <row r="23" spans="1:30" ht="13" x14ac:dyDescent="0.3">
      <c r="A23" s="31"/>
      <c r="B23" s="31"/>
      <c r="C23" s="33"/>
      <c r="D23" s="33"/>
      <c r="E23" s="33"/>
      <c r="F23" s="33"/>
      <c r="G23" s="23"/>
      <c r="H23" s="23"/>
      <c r="I23" s="23"/>
      <c r="J23" s="23"/>
      <c r="K23" s="31"/>
      <c r="L23" s="31"/>
      <c r="M23" s="31"/>
      <c r="N23" s="31"/>
      <c r="O23" s="31"/>
    </row>
    <row r="24" spans="1:30" ht="13" x14ac:dyDescent="0.3">
      <c r="A24" s="28" t="s">
        <v>31</v>
      </c>
      <c r="B24" s="22"/>
      <c r="C24" s="22"/>
      <c r="D24" s="22"/>
      <c r="E24" s="22"/>
      <c r="F24" s="22"/>
      <c r="G24" s="447" t="s">
        <v>67</v>
      </c>
      <c r="H24" s="448"/>
      <c r="I24" s="448"/>
      <c r="J24" s="449"/>
      <c r="K24" s="22"/>
      <c r="L24" s="450" t="s">
        <v>68</v>
      </c>
      <c r="M24" s="450"/>
      <c r="N24" s="450"/>
      <c r="O24" s="450"/>
    </row>
    <row r="25" spans="1:30" ht="13" x14ac:dyDescent="0.3">
      <c r="A25" s="18"/>
      <c r="B25" s="18"/>
      <c r="C25" s="18"/>
      <c r="D25" s="18"/>
      <c r="E25" s="18"/>
      <c r="F25" s="18"/>
      <c r="G25" s="8" t="s">
        <v>64</v>
      </c>
      <c r="H25" s="8" t="s">
        <v>65</v>
      </c>
      <c r="I25" s="8" t="s">
        <v>66</v>
      </c>
      <c r="J25" s="112" t="s">
        <v>34</v>
      </c>
      <c r="K25" s="18"/>
      <c r="L25" s="131" t="s">
        <v>64</v>
      </c>
      <c r="M25" s="131" t="s">
        <v>65</v>
      </c>
      <c r="N25" s="131" t="s">
        <v>66</v>
      </c>
      <c r="O25" s="132" t="s">
        <v>34</v>
      </c>
      <c r="P25" s="43" t="s">
        <v>56</v>
      </c>
    </row>
    <row r="26" spans="1:30" x14ac:dyDescent="0.25">
      <c r="A26" t="s">
        <v>32</v>
      </c>
      <c r="G26" s="86"/>
      <c r="H26" s="86"/>
      <c r="I26" s="86">
        <v>138.5</v>
      </c>
      <c r="J26" s="86">
        <f>SUM(G26:I26)</f>
        <v>138.5</v>
      </c>
      <c r="L26" s="88"/>
      <c r="M26" s="88"/>
      <c r="N26" s="88">
        <f>I26</f>
        <v>138.5</v>
      </c>
      <c r="O26" s="209">
        <f>SUM(L26:N26)</f>
        <v>138.5</v>
      </c>
      <c r="P26" s="245">
        <v>44531</v>
      </c>
    </row>
    <row r="27" spans="1:30" x14ac:dyDescent="0.25">
      <c r="A27" t="s">
        <v>132</v>
      </c>
      <c r="D27" s="1">
        <f>D16</f>
        <v>0</v>
      </c>
      <c r="E27" s="101" t="s">
        <v>41</v>
      </c>
      <c r="F27" s="102" t="s">
        <v>8</v>
      </c>
      <c r="G27" s="84"/>
      <c r="H27" s="86"/>
      <c r="I27" s="86"/>
      <c r="J27" s="84"/>
      <c r="K27" s="104" t="s">
        <v>42</v>
      </c>
      <c r="L27" s="87"/>
      <c r="M27" s="88"/>
      <c r="N27" s="87"/>
      <c r="O27" s="209"/>
      <c r="P27" s="245"/>
    </row>
    <row r="28" spans="1:30" x14ac:dyDescent="0.25">
      <c r="A28" t="s">
        <v>33</v>
      </c>
      <c r="D28" s="294">
        <f>ROUND(MAX(D14,D15,('Customer Info'!B14-100)*0.6,('Customer Info'!B16-100)*0.6),1)</f>
        <v>0</v>
      </c>
      <c r="E28" s="29" t="s">
        <v>45</v>
      </c>
      <c r="F28" s="4" t="s">
        <v>8</v>
      </c>
      <c r="G28" s="85"/>
      <c r="H28" s="85"/>
      <c r="I28" s="85">
        <v>6.17</v>
      </c>
      <c r="J28" s="85">
        <f>SUM(G28:I28)</f>
        <v>6.17</v>
      </c>
      <c r="K28" s="36" t="s">
        <v>44</v>
      </c>
      <c r="L28" s="87"/>
      <c r="M28" s="87"/>
      <c r="N28" s="87">
        <f>ROUND($D28*I28,2)</f>
        <v>0</v>
      </c>
      <c r="O28" s="209">
        <f>SUM(L28:N28)</f>
        <v>0</v>
      </c>
      <c r="P28" s="245">
        <v>45261</v>
      </c>
    </row>
    <row r="29" spans="1:30" x14ac:dyDescent="0.25">
      <c r="A29" t="s">
        <v>272</v>
      </c>
      <c r="D29" s="49">
        <f>IF(D18&lt;=100,0,ROUND(IF(D18-D19&gt;0,D18-D19),1))</f>
        <v>0</v>
      </c>
      <c r="E29" s="29" t="s">
        <v>270</v>
      </c>
      <c r="F29" s="4" t="s">
        <v>8</v>
      </c>
      <c r="G29" s="116"/>
      <c r="H29" s="85"/>
      <c r="I29" s="85">
        <v>1.21</v>
      </c>
      <c r="J29" s="116">
        <f>SUM(G29:I29)</f>
        <v>1.21</v>
      </c>
      <c r="K29" s="36" t="s">
        <v>44</v>
      </c>
      <c r="L29" s="87"/>
      <c r="M29" s="87"/>
      <c r="N29" s="87">
        <f>ROUND($D29*I29,2)</f>
        <v>0</v>
      </c>
      <c r="O29" s="87">
        <f>SUM(L29:N29)</f>
        <v>0</v>
      </c>
      <c r="P29" s="245">
        <v>44531</v>
      </c>
    </row>
    <row r="30" spans="1:30" ht="13" x14ac:dyDescent="0.3">
      <c r="A30" s="37" t="s">
        <v>50</v>
      </c>
      <c r="B30" s="37"/>
      <c r="C30" s="37"/>
      <c r="D30" s="38"/>
      <c r="E30" s="38"/>
      <c r="F30" s="37"/>
      <c r="G30" s="37"/>
      <c r="H30" s="37"/>
      <c r="I30" s="37"/>
      <c r="J30" s="37"/>
      <c r="K30" s="39"/>
      <c r="L30" s="40"/>
      <c r="M30" s="40"/>
      <c r="N30" s="40">
        <f>SUM(N26:N29)</f>
        <v>138.5</v>
      </c>
      <c r="O30" s="40">
        <f>SUM(O26:O29)</f>
        <v>138.5</v>
      </c>
    </row>
    <row r="31" spans="1:30" ht="13" x14ac:dyDescent="0.3">
      <c r="A31" s="89"/>
      <c r="B31" s="89"/>
      <c r="C31" s="90"/>
      <c r="D31" s="90"/>
      <c r="E31" s="90"/>
      <c r="F31" s="90"/>
      <c r="G31" s="91"/>
      <c r="H31" s="91"/>
      <c r="I31" s="91"/>
      <c r="J31" s="91"/>
      <c r="K31" s="89"/>
      <c r="L31" s="89"/>
      <c r="M31" s="89"/>
      <c r="N31" s="89"/>
      <c r="O31" s="89"/>
      <c r="P31" s="89"/>
    </row>
    <row r="32" spans="1:30" ht="13" x14ac:dyDescent="0.3">
      <c r="A32" s="41" t="s">
        <v>69</v>
      </c>
      <c r="D32" s="1"/>
      <c r="E32" s="1"/>
      <c r="K32" s="36"/>
      <c r="L32" s="36"/>
      <c r="M32" s="36"/>
      <c r="N32" s="36"/>
      <c r="O32" s="34"/>
      <c r="P32" s="34"/>
    </row>
    <row r="33" spans="1:220" ht="13" x14ac:dyDescent="0.3">
      <c r="A33" s="37"/>
      <c r="D33" s="1"/>
      <c r="E33" s="1"/>
      <c r="K33" s="36"/>
      <c r="L33" s="36"/>
      <c r="M33" s="36"/>
      <c r="N33" s="36"/>
      <c r="O33" s="34"/>
    </row>
    <row r="34" spans="1:220" x14ac:dyDescent="0.25">
      <c r="A34" s="78" t="s">
        <v>78</v>
      </c>
      <c r="D34" s="1">
        <f>IF($C$16&lt;0,0,IF($C$16&gt;833000,833000,$C$16))</f>
        <v>0</v>
      </c>
      <c r="E34" s="35" t="s">
        <v>41</v>
      </c>
      <c r="F34" s="4" t="s">
        <v>8</v>
      </c>
      <c r="G34" s="83"/>
      <c r="H34" s="84"/>
      <c r="I34" s="103">
        <f>'Rider Rates'!$B$4</f>
        <v>5.9216E-3</v>
      </c>
      <c r="J34" s="6">
        <f>SUM(G34:I34)</f>
        <v>5.9216E-3</v>
      </c>
      <c r="K34" s="36" t="s">
        <v>42</v>
      </c>
      <c r="L34" s="87"/>
      <c r="M34" s="87"/>
      <c r="N34" s="87">
        <f>ROUND($D34*I34,2)</f>
        <v>0</v>
      </c>
      <c r="O34" s="87">
        <f>SUM(L34:N34)</f>
        <v>0</v>
      </c>
      <c r="P34" s="245">
        <f>'Rider Rates'!$D$4</f>
        <v>45293</v>
      </c>
    </row>
    <row r="35" spans="1:220" x14ac:dyDescent="0.25">
      <c r="A35" s="78" t="s">
        <v>79</v>
      </c>
      <c r="D35" s="1">
        <f>IF($C$16-833000&gt;0,$C$16-D34,0)</f>
        <v>0</v>
      </c>
      <c r="E35" s="35" t="s">
        <v>41</v>
      </c>
      <c r="F35" s="4" t="s">
        <v>8</v>
      </c>
      <c r="G35" s="83"/>
      <c r="H35" s="84"/>
      <c r="I35" s="103">
        <f>'Rider Rates'!$B$5</f>
        <v>1.7560000000000001E-4</v>
      </c>
      <c r="J35" s="118">
        <f>SUM(G35:I35)</f>
        <v>1.7560000000000001E-4</v>
      </c>
      <c r="K35" s="36" t="s">
        <v>42</v>
      </c>
      <c r="L35" s="87"/>
      <c r="M35" s="87"/>
      <c r="N35" s="87">
        <f>ROUND($D35*I35,2)</f>
        <v>0</v>
      </c>
      <c r="O35" s="87">
        <f>SUM(L35:N35)</f>
        <v>0</v>
      </c>
      <c r="P35" s="245">
        <f>'Rider Rates'!$D$4</f>
        <v>45293</v>
      </c>
    </row>
    <row r="36" spans="1:220" x14ac:dyDescent="0.25">
      <c r="A36" s="78" t="s">
        <v>47</v>
      </c>
      <c r="B36" t="s">
        <v>15</v>
      </c>
      <c r="D36" s="1">
        <f>IF('Customer Info'!$C$32=TRUE,0,IF(C16&lt;0,0,IF(C16&gt;2000,2000,C16)))</f>
        <v>0</v>
      </c>
      <c r="E36" s="35" t="s">
        <v>41</v>
      </c>
      <c r="F36" s="4" t="s">
        <v>8</v>
      </c>
      <c r="G36" s="83"/>
      <c r="H36" s="84"/>
      <c r="I36" s="177">
        <f>'Rider Rates'!$B$8</f>
        <v>4.6499999999999996E-3</v>
      </c>
      <c r="J36" s="117">
        <f>SUM(G36:I36)</f>
        <v>4.6499999999999996E-3</v>
      </c>
      <c r="K36" s="36" t="s">
        <v>42</v>
      </c>
      <c r="L36" s="87"/>
      <c r="M36" s="87"/>
      <c r="N36" s="87">
        <f>ROUND($D36*I36,2)</f>
        <v>0</v>
      </c>
      <c r="O36" s="87">
        <f>SUM(L36:N36)</f>
        <v>0</v>
      </c>
      <c r="P36" s="245">
        <f>'Rider Rates'!$D$7</f>
        <v>44531</v>
      </c>
    </row>
    <row r="37" spans="1:220" x14ac:dyDescent="0.25">
      <c r="A37" s="78" t="s">
        <v>48</v>
      </c>
      <c r="B37" t="s">
        <v>15</v>
      </c>
      <c r="D37" s="1">
        <f>IF('Customer Info'!$C$32=TRUE,0,IF(C16&gt;15000,13000,IF(C16&gt;2000,C16-2000,0)))</f>
        <v>0</v>
      </c>
      <c r="E37" s="35" t="s">
        <v>41</v>
      </c>
      <c r="F37" s="4" t="s">
        <v>8</v>
      </c>
      <c r="G37" s="83"/>
      <c r="H37" s="84"/>
      <c r="I37" s="177">
        <f>'Rider Rates'!$B$9</f>
        <v>4.1900000000000001E-3</v>
      </c>
      <c r="J37" s="117">
        <f>SUM(G37:I37)</f>
        <v>4.1900000000000001E-3</v>
      </c>
      <c r="K37" s="36" t="s">
        <v>42</v>
      </c>
      <c r="L37" s="87"/>
      <c r="M37" s="87"/>
      <c r="N37" s="87">
        <f>ROUND($D37*I37,2)</f>
        <v>0</v>
      </c>
      <c r="O37" s="87">
        <f>SUM(L37:N37)</f>
        <v>0</v>
      </c>
      <c r="P37" s="245">
        <f>'Rider Rates'!$D$7</f>
        <v>44531</v>
      </c>
    </row>
    <row r="38" spans="1:220" x14ac:dyDescent="0.25">
      <c r="A38" s="78" t="s">
        <v>49</v>
      </c>
      <c r="B38" t="s">
        <v>15</v>
      </c>
      <c r="D38" s="1">
        <f>IF('Customer Info'!$C$32=TRUE,0,IF(C16-D36-D37&gt;0,C16-D36-D37,0))</f>
        <v>0</v>
      </c>
      <c r="E38" s="35" t="s">
        <v>41</v>
      </c>
      <c r="F38" s="4" t="s">
        <v>8</v>
      </c>
      <c r="G38" s="83"/>
      <c r="H38" s="84"/>
      <c r="I38" s="177">
        <f>'Rider Rates'!$B$10</f>
        <v>3.63E-3</v>
      </c>
      <c r="J38" s="117">
        <f>SUM(G38:I38)</f>
        <v>3.63E-3</v>
      </c>
      <c r="K38" s="36" t="s">
        <v>42</v>
      </c>
      <c r="L38" s="87"/>
      <c r="M38" s="87"/>
      <c r="N38" s="87">
        <f>ROUND($D38*I38,2)</f>
        <v>0</v>
      </c>
      <c r="O38" s="87">
        <f>SUM(L38:N38)</f>
        <v>0</v>
      </c>
      <c r="P38" s="245">
        <f>'Rider Rates'!$D$7</f>
        <v>44531</v>
      </c>
    </row>
    <row r="39" spans="1:220" ht="13" x14ac:dyDescent="0.3">
      <c r="A39" s="241" t="s">
        <v>247</v>
      </c>
      <c r="B39" s="78"/>
      <c r="C39" s="78"/>
      <c r="D39" s="208">
        <f>$N$30</f>
        <v>138.5</v>
      </c>
      <c r="E39" s="101" t="s">
        <v>121</v>
      </c>
      <c r="F39" s="102" t="s">
        <v>8</v>
      </c>
      <c r="G39" s="103"/>
      <c r="H39" s="103"/>
      <c r="I39" s="178">
        <f>'Rider Rates'!$B$18+'Rider Rates'!$E$18</f>
        <v>0</v>
      </c>
      <c r="J39" s="120">
        <f>SUM(H39:I39)</f>
        <v>0</v>
      </c>
      <c r="K39" s="104"/>
      <c r="L39" s="105"/>
      <c r="M39" s="105"/>
      <c r="N39" s="105">
        <f>ROUND($D$39*'Rider Rates'!$B$18,2)+ROUND($D$39*'Rider Rates'!$E$18,2)</f>
        <v>0</v>
      </c>
      <c r="O39" s="105">
        <f t="shared" ref="O39:O45" si="0">SUM(L39:N39)</f>
        <v>0</v>
      </c>
      <c r="P39" s="245">
        <f>MAX('Rider Rates'!$D$18,'Rider Rates'!$F$18)</f>
        <v>44531</v>
      </c>
    </row>
    <row r="40" spans="1:220" x14ac:dyDescent="0.25">
      <c r="A40" s="210" t="s">
        <v>195</v>
      </c>
      <c r="B40" s="78"/>
      <c r="C40" s="78"/>
      <c r="D40" s="100">
        <f>'Customer Info'!$B$21+'Customer Info'!$B$22-'Customer Info'!$B$23</f>
        <v>0</v>
      </c>
      <c r="E40" s="101" t="s">
        <v>41</v>
      </c>
      <c r="F40" s="102" t="s">
        <v>8</v>
      </c>
      <c r="G40" s="103">
        <f>'Rider Rates'!B24</f>
        <v>0.10234</v>
      </c>
      <c r="H40" s="103"/>
      <c r="I40" s="103"/>
      <c r="J40" s="237">
        <f>SUM(G40:H40)</f>
        <v>0.10234</v>
      </c>
      <c r="K40" s="104" t="s">
        <v>42</v>
      </c>
      <c r="L40" s="105">
        <f>ROUND(D40*G40,2)</f>
        <v>0</v>
      </c>
      <c r="M40" s="105"/>
      <c r="N40" s="105"/>
      <c r="O40" s="105">
        <f t="shared" si="0"/>
        <v>0</v>
      </c>
      <c r="P40" s="245">
        <f>'Rider Rates'!$D$23</f>
        <v>45078</v>
      </c>
    </row>
    <row r="41" spans="1:220" x14ac:dyDescent="0.25">
      <c r="A41" s="241" t="s">
        <v>162</v>
      </c>
      <c r="B41" s="78"/>
      <c r="C41" s="78"/>
      <c r="D41" s="100">
        <f>'Customer Info'!$B$21+'Customer Info'!$B$22-'Customer Info'!$B$23</f>
        <v>0</v>
      </c>
      <c r="E41" s="101" t="s">
        <v>41</v>
      </c>
      <c r="F41" s="102" t="s">
        <v>8</v>
      </c>
      <c r="G41" s="103">
        <f>'Rider Rates'!$B$42</f>
        <v>2.31E-3</v>
      </c>
      <c r="H41" s="103"/>
      <c r="I41" s="103"/>
      <c r="J41" s="237">
        <f>SUM(G41:H41)</f>
        <v>2.31E-3</v>
      </c>
      <c r="K41" s="104" t="s">
        <v>42</v>
      </c>
      <c r="L41" s="105">
        <f>ROUND(D41*G41,2)</f>
        <v>0</v>
      </c>
      <c r="M41" s="105"/>
      <c r="N41" s="105"/>
      <c r="O41" s="105">
        <f t="shared" si="0"/>
        <v>0</v>
      </c>
      <c r="P41" s="245">
        <f>'Rider Rates'!$D$42</f>
        <v>45078</v>
      </c>
    </row>
    <row r="42" spans="1:220" x14ac:dyDescent="0.25">
      <c r="A42" s="210" t="s">
        <v>202</v>
      </c>
      <c r="B42" s="78"/>
      <c r="C42" s="78"/>
      <c r="D42" s="100">
        <f>'Customer Info'!$B$21+'Customer Info'!$B$22-'Customer Info'!$B$23</f>
        <v>0</v>
      </c>
      <c r="E42" s="101" t="s">
        <v>41</v>
      </c>
      <c r="F42" s="102" t="s">
        <v>8</v>
      </c>
      <c r="G42" s="103">
        <f>'Rider Rates'!$B$46</f>
        <v>-4.8640000000000001E-4</v>
      </c>
      <c r="H42" s="103"/>
      <c r="I42" s="103"/>
      <c r="J42" s="237">
        <f>SUM(G42:H42)</f>
        <v>-4.8640000000000001E-4</v>
      </c>
      <c r="K42" s="104" t="s">
        <v>42</v>
      </c>
      <c r="L42" s="105">
        <f>ROUND(D42*G42,2)</f>
        <v>0</v>
      </c>
      <c r="M42" s="105"/>
      <c r="N42" s="105"/>
      <c r="O42" s="105">
        <f t="shared" si="0"/>
        <v>0</v>
      </c>
      <c r="P42" s="245">
        <f>'Rider Rates'!$D$46</f>
        <v>45383</v>
      </c>
    </row>
    <row r="43" spans="1:220" x14ac:dyDescent="0.25">
      <c r="A43" s="241" t="s">
        <v>220</v>
      </c>
      <c r="B43" s="78"/>
      <c r="C43" s="78"/>
      <c r="D43" s="1">
        <f>IF($C$16&lt;0,0,IF($C$16&gt;833000,833000,$C$16))</f>
        <v>0</v>
      </c>
      <c r="E43" s="101" t="s">
        <v>41</v>
      </c>
      <c r="F43" s="102" t="s">
        <v>8</v>
      </c>
      <c r="G43" s="103"/>
      <c r="H43" s="103"/>
      <c r="I43" s="103">
        <f>'Rider Rates'!D50</f>
        <v>1.7826999999999999E-3</v>
      </c>
      <c r="J43" s="103">
        <f>SUM(G43:I43)</f>
        <v>1.7826999999999999E-3</v>
      </c>
      <c r="K43" s="104" t="s">
        <v>42</v>
      </c>
      <c r="L43" s="105"/>
      <c r="M43" s="105"/>
      <c r="N43" s="87">
        <f>D43*J43</f>
        <v>0</v>
      </c>
      <c r="O43" s="105">
        <f t="shared" si="0"/>
        <v>0</v>
      </c>
      <c r="P43" s="245">
        <f>'Rider Rates'!E50</f>
        <v>45292</v>
      </c>
    </row>
    <row r="44" spans="1:220" x14ac:dyDescent="0.25">
      <c r="A44" s="210" t="s">
        <v>198</v>
      </c>
      <c r="B44" s="78"/>
      <c r="C44" s="78"/>
      <c r="D44" s="1">
        <f>IF($C$16&lt;0,0,$C$16)</f>
        <v>0</v>
      </c>
      <c r="E44" s="113" t="s">
        <v>41</v>
      </c>
      <c r="F44" s="102" t="s">
        <v>8</v>
      </c>
      <c r="G44" s="103"/>
      <c r="H44" s="103">
        <f>'Rider Rates'!B59</f>
        <v>5.8060000000000002E-4</v>
      </c>
      <c r="I44" s="103"/>
      <c r="J44" s="103">
        <f>SUM(G44:I44)</f>
        <v>5.8060000000000002E-4</v>
      </c>
      <c r="K44" s="104" t="s">
        <v>42</v>
      </c>
      <c r="L44" s="105"/>
      <c r="M44" s="105">
        <f>ROUND(D44*H44,2)</f>
        <v>0</v>
      </c>
      <c r="N44" s="205"/>
      <c r="O44" s="105">
        <f t="shared" si="0"/>
        <v>0</v>
      </c>
      <c r="P44" s="245">
        <f>'Rider Rates'!$D$58</f>
        <v>45383</v>
      </c>
    </row>
    <row r="45" spans="1:220" x14ac:dyDescent="0.25">
      <c r="A45" s="210" t="s">
        <v>198</v>
      </c>
      <c r="B45" s="78"/>
      <c r="C45" s="78"/>
      <c r="D45" s="49">
        <f>D28</f>
        <v>0</v>
      </c>
      <c r="E45" s="35" t="s">
        <v>63</v>
      </c>
      <c r="F45" s="4" t="s">
        <v>8</v>
      </c>
      <c r="G45" s="103"/>
      <c r="H45" s="239">
        <f>'Rider Rates'!B64</f>
        <v>6.76</v>
      </c>
      <c r="I45" s="103"/>
      <c r="J45" s="239">
        <f>SUM(G45:I45)</f>
        <v>6.76</v>
      </c>
      <c r="K45" s="104" t="s">
        <v>44</v>
      </c>
      <c r="L45" s="105"/>
      <c r="M45" s="105">
        <f>ROUND(D45*H45,2)</f>
        <v>0</v>
      </c>
      <c r="N45" s="205"/>
      <c r="O45" s="105">
        <f t="shared" si="0"/>
        <v>0</v>
      </c>
      <c r="P45" s="245">
        <f>'Rider Rates'!$D$63</f>
        <v>45383</v>
      </c>
    </row>
    <row r="46" spans="1:220" x14ac:dyDescent="0.25">
      <c r="A46" s="99" t="s">
        <v>82</v>
      </c>
      <c r="B46" s="78"/>
      <c r="C46" s="78"/>
      <c r="D46" s="1">
        <f>IF('Customer Info'!C34=TRUE,0,IF($C$16&lt;0,0,$C$16))</f>
        <v>0</v>
      </c>
      <c r="E46" s="101" t="s">
        <v>41</v>
      </c>
      <c r="F46" s="102" t="s">
        <v>8</v>
      </c>
      <c r="G46" s="103"/>
      <c r="H46" s="103"/>
      <c r="I46" s="103">
        <f>'Rider Rates'!$B$70+'Rider Rates'!$C$70</f>
        <v>0</v>
      </c>
      <c r="J46" s="103">
        <f>SUM(G46:I46)</f>
        <v>0</v>
      </c>
      <c r="K46" s="104" t="s">
        <v>42</v>
      </c>
      <c r="L46" s="105"/>
      <c r="M46" s="105"/>
      <c r="N46" s="87">
        <f>ROUND($D$46*'Rider Rates'!$B$70,2)+ROUND($D$46*'Rider Rates'!$C$70,2)</f>
        <v>0</v>
      </c>
      <c r="O46" s="209">
        <f t="shared" ref="O46:O53" si="1">SUM(L46:N46)</f>
        <v>0</v>
      </c>
      <c r="P46" s="245">
        <f>'Rider Rates'!$D$70</f>
        <v>44531</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0" x14ac:dyDescent="0.25">
      <c r="A47" s="99" t="s">
        <v>82</v>
      </c>
      <c r="B47" s="78"/>
      <c r="C47" s="78"/>
      <c r="D47" s="49">
        <f>IF('Customer Info'!C34=TRUE,0,$D$28)</f>
        <v>0</v>
      </c>
      <c r="E47" s="101" t="s">
        <v>45</v>
      </c>
      <c r="F47" s="102" t="s">
        <v>8</v>
      </c>
      <c r="G47" s="103"/>
      <c r="H47" s="103"/>
      <c r="I47" s="239">
        <f>'Rider Rates'!$B$80</f>
        <v>0</v>
      </c>
      <c r="J47" s="239">
        <f>SUM(G47:I47)</f>
        <v>0</v>
      </c>
      <c r="K47" s="104" t="s">
        <v>42</v>
      </c>
      <c r="L47" s="105"/>
      <c r="M47" s="105"/>
      <c r="N47" s="87">
        <f>ROUND($D47*I47,2)</f>
        <v>0</v>
      </c>
      <c r="O47" s="209">
        <f>SUM(L47:N47)</f>
        <v>0</v>
      </c>
      <c r="P47" s="245">
        <f>'Rider Rates'!$D$80</f>
        <v>44531</v>
      </c>
      <c r="Q47" s="107"/>
      <c r="R47" s="108"/>
      <c r="S47" s="109"/>
      <c r="T47" s="78"/>
      <c r="U47" s="110"/>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row>
    <row r="48" spans="1:220" ht="13" x14ac:dyDescent="0.3">
      <c r="A48" s="99" t="s">
        <v>80</v>
      </c>
      <c r="B48" s="78"/>
      <c r="C48" s="78"/>
      <c r="D48" s="208">
        <f>$N$30</f>
        <v>138.5</v>
      </c>
      <c r="E48" s="101" t="s">
        <v>121</v>
      </c>
      <c r="F48" s="102" t="s">
        <v>8</v>
      </c>
      <c r="G48" s="111"/>
      <c r="H48" s="112"/>
      <c r="I48" s="120">
        <f>'Rider Rates'!$B$84</f>
        <v>2.9347000000000002E-2</v>
      </c>
      <c r="J48" s="120">
        <f>SUM(H48:I48)</f>
        <v>2.9347000000000002E-2</v>
      </c>
      <c r="K48" s="104"/>
      <c r="L48" s="105"/>
      <c r="M48" s="105"/>
      <c r="N48" s="105">
        <f>ROUND(N$30*I48,2)</f>
        <v>4.0599999999999996</v>
      </c>
      <c r="O48" s="209">
        <f t="shared" si="1"/>
        <v>4.0599999999999996</v>
      </c>
      <c r="P48" s="245">
        <f>'Rider Rates'!$D$84</f>
        <v>45383</v>
      </c>
      <c r="Q48" s="107"/>
      <c r="R48" s="108"/>
      <c r="S48" s="109"/>
      <c r="T48" s="78"/>
      <c r="U48" s="110"/>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row>
    <row r="49" spans="1:221" ht="13" x14ac:dyDescent="0.3">
      <c r="A49" s="99" t="s">
        <v>81</v>
      </c>
      <c r="B49" s="78"/>
      <c r="C49" s="78"/>
      <c r="D49" s="208">
        <f>$N$30</f>
        <v>138.5</v>
      </c>
      <c r="E49" s="101" t="s">
        <v>121</v>
      </c>
      <c r="F49" s="102" t="s">
        <v>8</v>
      </c>
      <c r="G49" s="114"/>
      <c r="H49" s="115"/>
      <c r="I49" s="120">
        <f>'Rider Rates'!$B$86</f>
        <v>6.6985699999999995E-2</v>
      </c>
      <c r="J49" s="120">
        <f>SUM(H49:I49)</f>
        <v>6.6985699999999995E-2</v>
      </c>
      <c r="K49" s="104"/>
      <c r="L49" s="105"/>
      <c r="M49" s="105"/>
      <c r="N49" s="105">
        <f>ROUND(N$30*I49,2)</f>
        <v>9.2799999999999994</v>
      </c>
      <c r="O49" s="209">
        <f t="shared" si="1"/>
        <v>9.2799999999999994</v>
      </c>
      <c r="P49" s="245">
        <f>'Rider Rates'!$D$86</f>
        <v>45167</v>
      </c>
      <c r="Q49" s="107"/>
      <c r="R49" s="108"/>
      <c r="S49" s="109"/>
      <c r="T49" s="78"/>
      <c r="U49" s="110"/>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row>
    <row r="50" spans="1:221" ht="13" x14ac:dyDescent="0.3">
      <c r="A50" s="210" t="s">
        <v>216</v>
      </c>
      <c r="B50" s="78"/>
      <c r="C50" s="78"/>
      <c r="D50" s="195"/>
      <c r="E50" s="113" t="s">
        <v>114</v>
      </c>
      <c r="F50" s="106"/>
      <c r="G50" s="114"/>
      <c r="H50" s="115"/>
      <c r="I50" s="196">
        <f>'Rider Rates'!$B$90</f>
        <v>15.91</v>
      </c>
      <c r="J50" s="196">
        <f>SUM(G50:I50)</f>
        <v>15.91</v>
      </c>
      <c r="K50" s="104"/>
      <c r="L50" s="105"/>
      <c r="M50" s="105"/>
      <c r="N50" s="105">
        <f>I50</f>
        <v>15.91</v>
      </c>
      <c r="O50" s="105">
        <f>SUM(L50:N50)</f>
        <v>15.91</v>
      </c>
      <c r="P50" s="245">
        <f>'Rider Rates'!$D$90</f>
        <v>45351</v>
      </c>
    </row>
    <row r="51" spans="1:221" x14ac:dyDescent="0.25">
      <c r="A51" s="241" t="s">
        <v>263</v>
      </c>
      <c r="B51" s="78"/>
      <c r="C51" s="78"/>
      <c r="D51" s="1">
        <f>$D$34</f>
        <v>0</v>
      </c>
      <c r="E51" s="101" t="s">
        <v>41</v>
      </c>
      <c r="F51" s="102" t="s">
        <v>8</v>
      </c>
      <c r="G51" s="103"/>
      <c r="H51" s="103"/>
      <c r="I51" s="103"/>
      <c r="J51" s="103">
        <f>'Rider Rates'!$B$95</f>
        <v>0</v>
      </c>
      <c r="K51" s="104" t="s">
        <v>42</v>
      </c>
      <c r="L51" s="105"/>
      <c r="M51" s="105"/>
      <c r="N51" s="87"/>
      <c r="O51" s="105">
        <f>ROUND($D51*('Rider Rates'!B$95),2)</f>
        <v>0</v>
      </c>
      <c r="P51" s="245">
        <f>'Rider Rates'!$D$95</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241" t="s">
        <v>264</v>
      </c>
      <c r="B52" s="78"/>
      <c r="C52" s="78"/>
      <c r="D52" s="1">
        <f>$D$35</f>
        <v>0</v>
      </c>
      <c r="E52" s="101" t="s">
        <v>41</v>
      </c>
      <c r="F52" s="102" t="s">
        <v>8</v>
      </c>
      <c r="G52" s="103"/>
      <c r="H52" s="103"/>
      <c r="I52" s="103"/>
      <c r="J52" s="103">
        <f>'Rider Rates'!$B$96</f>
        <v>0</v>
      </c>
      <c r="K52" s="104" t="s">
        <v>42</v>
      </c>
      <c r="L52" s="105"/>
      <c r="M52" s="105"/>
      <c r="N52" s="87"/>
      <c r="O52" s="105">
        <f>ROUND($D52*('Rider Rates'!B$96),2)</f>
        <v>0</v>
      </c>
      <c r="P52" s="245">
        <f>'Rider Rates'!$D$96</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ht="13" x14ac:dyDescent="0.3">
      <c r="A53" s="99" t="s">
        <v>157</v>
      </c>
      <c r="B53" s="78"/>
      <c r="C53" s="78"/>
      <c r="D53" s="208">
        <f>$N$30</f>
        <v>138.5</v>
      </c>
      <c r="E53" s="101" t="s">
        <v>121</v>
      </c>
      <c r="F53" s="102" t="s">
        <v>8</v>
      </c>
      <c r="G53" s="114"/>
      <c r="H53" s="115"/>
      <c r="I53" s="120">
        <f>'Rider Rates'!$B$104</f>
        <v>0.21398439999999999</v>
      </c>
      <c r="J53" s="120">
        <f>SUM(H53:I53)</f>
        <v>0.21398439999999999</v>
      </c>
      <c r="K53" s="104"/>
      <c r="L53" s="105"/>
      <c r="M53" s="105"/>
      <c r="N53" s="105">
        <f>ROUND(N$30*I53,2)</f>
        <v>29.64</v>
      </c>
      <c r="O53" s="105">
        <f t="shared" si="1"/>
        <v>29.64</v>
      </c>
      <c r="P53" s="245">
        <f>'Rider Rates'!$D$104</f>
        <v>45351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ht="13" x14ac:dyDescent="0.3">
      <c r="A54" s="210" t="s">
        <v>219</v>
      </c>
      <c r="B54" s="78"/>
      <c r="C54" s="78"/>
      <c r="D54" s="195"/>
      <c r="E54" s="113" t="s">
        <v>114</v>
      </c>
      <c r="F54" s="106"/>
      <c r="G54" s="114"/>
      <c r="H54" s="115"/>
      <c r="I54" s="196">
        <f>'Rider Rates'!$B$108</f>
        <v>0</v>
      </c>
      <c r="J54" s="196">
        <f>SUM(G54:I54)</f>
        <v>0</v>
      </c>
      <c r="K54" s="104"/>
      <c r="L54" s="105"/>
      <c r="M54" s="105"/>
      <c r="N54" s="105">
        <f>I54</f>
        <v>0</v>
      </c>
      <c r="O54" s="105">
        <f t="shared" ref="O54:O59" si="2">SUM(L54:N54)</f>
        <v>0</v>
      </c>
      <c r="P54" s="245">
        <f>'Rider Rates'!$D$108</f>
        <v>44894</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ht="13" x14ac:dyDescent="0.3">
      <c r="A55" s="210" t="s">
        <v>227</v>
      </c>
      <c r="B55" s="78"/>
      <c r="C55" s="78"/>
      <c r="D55" s="195"/>
      <c r="E55" s="113" t="s">
        <v>114</v>
      </c>
      <c r="F55" s="106"/>
      <c r="G55" s="114"/>
      <c r="H55" s="115"/>
      <c r="I55" s="260">
        <f>'Rider Rates'!B121</f>
        <v>5.83</v>
      </c>
      <c r="J55" s="196">
        <f>SUM(G55:I55)</f>
        <v>5.83</v>
      </c>
      <c r="K55" s="104"/>
      <c r="L55" s="105"/>
      <c r="M55" s="105"/>
      <c r="N55" s="262">
        <f>I55</f>
        <v>5.83</v>
      </c>
      <c r="O55" s="105">
        <f t="shared" si="2"/>
        <v>5.83</v>
      </c>
      <c r="P55" s="245">
        <f>'Rider Rates'!D121</f>
        <v>45226</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5">
      <c r="A56" s="99" t="s">
        <v>158</v>
      </c>
      <c r="B56" s="78"/>
      <c r="C56" s="78"/>
      <c r="D56" s="100">
        <f>IF('Customer Info'!$C$32=TRUE,0,'Customer Info'!$B$21+'Customer Info'!$B$22-'Customer Info'!$B$23)</f>
        <v>0</v>
      </c>
      <c r="E56" s="101" t="s">
        <v>41</v>
      </c>
      <c r="F56" s="102" t="s">
        <v>8</v>
      </c>
      <c r="G56" s="103">
        <f>'Rider Rates'!$B$112</f>
        <v>3.7618E-3</v>
      </c>
      <c r="H56" s="103"/>
      <c r="I56" s="120"/>
      <c r="J56" s="237">
        <f>SUM(G56:H56)</f>
        <v>3.7618E-3</v>
      </c>
      <c r="K56" s="104" t="s">
        <v>42</v>
      </c>
      <c r="L56" s="105">
        <f>ROUND(D56*G56,2)</f>
        <v>0</v>
      </c>
      <c r="M56" s="105"/>
      <c r="N56" s="105"/>
      <c r="O56" s="105">
        <f t="shared" si="2"/>
        <v>0</v>
      </c>
      <c r="P56" s="245">
        <f>'Rider Rates'!$D$112</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5">
      <c r="A57" s="210" t="s">
        <v>218</v>
      </c>
      <c r="B57" s="78"/>
      <c r="C57" s="78"/>
      <c r="D57" s="1">
        <f>IF($C$16&lt;1,0,$C$16)</f>
        <v>0</v>
      </c>
      <c r="E57" s="101" t="s">
        <v>41</v>
      </c>
      <c r="F57" s="249" t="s">
        <v>8</v>
      </c>
      <c r="G57" s="165"/>
      <c r="H57" s="165"/>
      <c r="I57" s="251">
        <f>'Rider Rates'!B117</f>
        <v>-6.2E-4</v>
      </c>
      <c r="J57" s="251">
        <f>SUM(G57:I57)</f>
        <v>-6.2E-4</v>
      </c>
      <c r="K57" s="104" t="s">
        <v>42</v>
      </c>
      <c r="L57" s="105"/>
      <c r="M57" s="105"/>
      <c r="N57" s="105">
        <f>D57*I57</f>
        <v>0</v>
      </c>
      <c r="O57" s="105">
        <f t="shared" si="2"/>
        <v>0</v>
      </c>
      <c r="P57" s="245">
        <f>'Rider Rates'!D117</f>
        <v>44531</v>
      </c>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5">
      <c r="A58" s="78" t="s">
        <v>243</v>
      </c>
      <c r="B58" s="78"/>
      <c r="C58" s="78"/>
      <c r="D58" s="100">
        <f>IF(C16&lt;0,0,IF(C16&gt;833000,833000,C16))</f>
        <v>0</v>
      </c>
      <c r="E58" s="101" t="s">
        <v>41</v>
      </c>
      <c r="F58" s="102" t="s">
        <v>8</v>
      </c>
      <c r="G58" s="267"/>
      <c r="H58" s="267"/>
      <c r="I58" s="267">
        <f>'Rider Rates'!$B$125</f>
        <v>2.9050000000000001E-4</v>
      </c>
      <c r="J58" s="267">
        <f>SUM(G58:I58)</f>
        <v>2.9050000000000001E-4</v>
      </c>
      <c r="K58" s="104" t="s">
        <v>42</v>
      </c>
      <c r="L58" s="268"/>
      <c r="M58" s="268"/>
      <c r="N58" s="268">
        <f>IF(D58*J58&gt;'Rider Rates'!$C$125,'Rider Rates'!$C$125,D58*J58)</f>
        <v>0</v>
      </c>
      <c r="O58" s="268">
        <f t="shared" si="2"/>
        <v>0</v>
      </c>
      <c r="P58" s="266">
        <f>'Rider Rates'!$E$125</f>
        <v>45292</v>
      </c>
      <c r="Q58" s="106"/>
      <c r="R58" s="107"/>
      <c r="S58" s="108"/>
      <c r="T58" s="109"/>
      <c r="U58" s="78"/>
      <c r="V58" s="110"/>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5">
      <c r="A59" s="78" t="s">
        <v>244</v>
      </c>
      <c r="B59" s="78"/>
      <c r="C59" s="78"/>
      <c r="D59" s="123">
        <f>IF(C16&gt;833000,C16-833000,0)</f>
        <v>0</v>
      </c>
      <c r="E59" s="101" t="s">
        <v>41</v>
      </c>
      <c r="F59" s="102" t="s">
        <v>8</v>
      </c>
      <c r="G59" s="267"/>
      <c r="H59" s="267"/>
      <c r="I59" s="267">
        <f>'Rider Rates'!$B$126</f>
        <v>0</v>
      </c>
      <c r="J59" s="267">
        <f>SUM(G59:I59)</f>
        <v>0</v>
      </c>
      <c r="K59" s="104" t="s">
        <v>42</v>
      </c>
      <c r="L59" s="268"/>
      <c r="M59" s="268"/>
      <c r="N59" s="268">
        <f>D59*J59</f>
        <v>0</v>
      </c>
      <c r="O59" s="268">
        <f t="shared" si="2"/>
        <v>0</v>
      </c>
      <c r="P59" s="266">
        <f>'Rider Rates'!$E$126</f>
        <v>44927</v>
      </c>
      <c r="Q59" s="106"/>
      <c r="R59" s="107"/>
      <c r="S59" s="108"/>
      <c r="T59" s="109"/>
      <c r="U59" s="78"/>
      <c r="V59" s="110"/>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5">
      <c r="A60" s="241" t="s">
        <v>252</v>
      </c>
      <c r="B60" s="78"/>
      <c r="C60" s="78"/>
      <c r="D60" s="100">
        <f>D16</f>
        <v>0</v>
      </c>
      <c r="E60" s="101" t="s">
        <v>41</v>
      </c>
      <c r="F60" s="249" t="s">
        <v>8</v>
      </c>
      <c r="G60" s="103"/>
      <c r="H60" s="103"/>
      <c r="I60" s="103">
        <f>'Rider Rates'!$B$132</f>
        <v>0</v>
      </c>
      <c r="J60" s="237">
        <f>SUM(G60:I60)</f>
        <v>0</v>
      </c>
      <c r="K60" s="104" t="s">
        <v>42</v>
      </c>
      <c r="L60" s="105"/>
      <c r="M60" s="105"/>
      <c r="N60" s="105">
        <f>D60*J60</f>
        <v>0</v>
      </c>
      <c r="O60" s="105">
        <f>SUM(L60:N60)</f>
        <v>0</v>
      </c>
      <c r="P60" s="245">
        <f>'Rider Rates'!$D$130</f>
        <v>44531</v>
      </c>
      <c r="Q60" s="106"/>
      <c r="R60" s="107"/>
      <c r="S60" s="108"/>
      <c r="T60" s="109"/>
      <c r="U60" s="78"/>
      <c r="V60" s="110"/>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5">
      <c r="A61" s="241" t="s">
        <v>251</v>
      </c>
      <c r="B61" s="78"/>
      <c r="C61" s="78"/>
      <c r="D61" s="100"/>
      <c r="E61" s="101" t="s">
        <v>114</v>
      </c>
      <c r="F61" s="102" t="s">
        <v>8</v>
      </c>
      <c r="G61" s="265"/>
      <c r="H61" s="265"/>
      <c r="I61" s="265">
        <f>'Rider Rates'!$B$137</f>
        <v>0</v>
      </c>
      <c r="J61" s="265">
        <f>SUM(G61:I61)</f>
        <v>0</v>
      </c>
      <c r="K61" s="104"/>
      <c r="L61" s="209"/>
      <c r="M61" s="209"/>
      <c r="N61" s="209">
        <f>J61</f>
        <v>0</v>
      </c>
      <c r="O61" s="209">
        <f>SUM(L61:N61)</f>
        <v>0</v>
      </c>
      <c r="P61" s="266">
        <f>'Rider Rates'!$D$137</f>
        <v>44531</v>
      </c>
      <c r="Q61" s="106"/>
      <c r="R61" s="107"/>
      <c r="S61" s="108"/>
      <c r="T61" s="109"/>
      <c r="U61" s="78"/>
      <c r="V61" s="110"/>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x14ac:dyDescent="0.25">
      <c r="A62" s="241" t="s">
        <v>253</v>
      </c>
      <c r="B62" s="78"/>
      <c r="C62" s="78"/>
      <c r="D62" s="100"/>
      <c r="E62" s="101"/>
      <c r="F62" s="102"/>
      <c r="G62" s="265"/>
      <c r="H62" s="265"/>
      <c r="I62" s="265"/>
      <c r="J62" s="265"/>
      <c r="K62" s="104"/>
      <c r="L62" s="209"/>
      <c r="M62" s="209"/>
      <c r="N62" s="209"/>
      <c r="O62" s="209"/>
      <c r="P62" s="266"/>
      <c r="Q62" s="106"/>
      <c r="R62" s="107"/>
      <c r="S62" s="108"/>
      <c r="T62" s="109"/>
      <c r="U62" s="78"/>
      <c r="V62" s="110"/>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ht="13" x14ac:dyDescent="0.3">
      <c r="A63" s="179" t="s">
        <v>70</v>
      </c>
      <c r="B63" s="148"/>
      <c r="C63" s="148"/>
      <c r="D63" s="180"/>
      <c r="E63" s="181"/>
      <c r="F63" s="182"/>
      <c r="G63" s="182"/>
      <c r="H63" s="182"/>
      <c r="I63" s="182"/>
      <c r="J63" s="182"/>
      <c r="K63" s="183"/>
      <c r="L63" s="169">
        <f>SUM(L34:L62)</f>
        <v>0</v>
      </c>
      <c r="M63" s="169">
        <f>SUM(M34:M62)</f>
        <v>0</v>
      </c>
      <c r="N63" s="169">
        <f>SUM(N34:N62)</f>
        <v>64.72</v>
      </c>
      <c r="O63" s="169">
        <f>SUM(O34:O62)</f>
        <v>64.72</v>
      </c>
      <c r="P63" s="184"/>
    </row>
    <row r="64" spans="1:221" ht="13" x14ac:dyDescent="0.3">
      <c r="A64" s="37"/>
      <c r="D64" s="1"/>
      <c r="E64" s="35"/>
      <c r="F64" s="4"/>
      <c r="G64" s="42"/>
      <c r="H64" s="42"/>
      <c r="I64" s="42"/>
      <c r="J64" s="42"/>
      <c r="K64" s="36"/>
      <c r="L64" s="36"/>
      <c r="M64" s="36"/>
      <c r="N64" s="36"/>
      <c r="O64" s="34"/>
      <c r="P64" s="36"/>
    </row>
    <row r="65" spans="1:16" ht="13" x14ac:dyDescent="0.3">
      <c r="A65" s="81" t="s">
        <v>71</v>
      </c>
      <c r="B65" s="92"/>
      <c r="C65" s="92"/>
      <c r="D65" s="92"/>
      <c r="E65" s="92"/>
      <c r="F65" s="92"/>
      <c r="G65" s="92"/>
      <c r="H65" s="92"/>
      <c r="I65" s="92"/>
      <c r="J65" s="92"/>
      <c r="K65" s="92"/>
      <c r="L65" s="98">
        <f>L30+L63</f>
        <v>0</v>
      </c>
      <c r="M65" s="98">
        <f>M30+M63</f>
        <v>0</v>
      </c>
      <c r="N65" s="98">
        <f>N30+N63</f>
        <v>203.22</v>
      </c>
      <c r="O65" s="98">
        <f>O30+O63</f>
        <v>203.22</v>
      </c>
      <c r="P65" s="98"/>
    </row>
    <row r="66" spans="1:16" ht="13" x14ac:dyDescent="0.3">
      <c r="A66" s="37"/>
      <c r="B66" s="37"/>
      <c r="C66" s="37"/>
      <c r="D66" s="37"/>
      <c r="E66" s="37"/>
      <c r="F66" s="37"/>
      <c r="G66" s="37"/>
      <c r="H66" s="37"/>
      <c r="I66" s="37"/>
      <c r="J66" s="37"/>
      <c r="K66" s="37"/>
      <c r="L66" s="37"/>
      <c r="M66" s="37"/>
      <c r="N66" s="37"/>
      <c r="O66" s="40"/>
      <c r="P66" s="40"/>
    </row>
    <row r="67" spans="1:16" ht="13" x14ac:dyDescent="0.3">
      <c r="A67" s="37" t="s">
        <v>37</v>
      </c>
      <c r="B67" s="37"/>
      <c r="C67" s="37"/>
      <c r="D67" s="37"/>
      <c r="E67" s="37"/>
      <c r="F67" s="37"/>
      <c r="G67" s="37"/>
      <c r="H67" s="37"/>
      <c r="I67" s="37"/>
      <c r="J67" s="37"/>
      <c r="K67" s="37"/>
      <c r="L67" s="37"/>
      <c r="M67" s="37"/>
      <c r="N67" s="37"/>
      <c r="O67" s="45">
        <f>O26+O28+O63</f>
        <v>203.22</v>
      </c>
      <c r="P67" s="245">
        <v>40967</v>
      </c>
    </row>
    <row r="68" spans="1:16" ht="13" x14ac:dyDescent="0.3">
      <c r="A68" s="37"/>
      <c r="B68" s="37"/>
      <c r="C68" s="37"/>
      <c r="D68" s="37"/>
      <c r="E68" s="37"/>
      <c r="F68" s="37"/>
      <c r="G68" s="46"/>
      <c r="H68" s="46"/>
      <c r="I68" s="46"/>
      <c r="J68" s="46"/>
      <c r="K68" s="36"/>
      <c r="L68" s="36"/>
      <c r="M68" s="36"/>
      <c r="N68" s="36"/>
      <c r="O68" s="40"/>
    </row>
    <row r="69" spans="1:16" ht="13" x14ac:dyDescent="0.3">
      <c r="A69" s="41" t="s">
        <v>116</v>
      </c>
      <c r="B69" s="37"/>
      <c r="C69" s="37"/>
      <c r="D69" s="37"/>
      <c r="E69" s="37"/>
      <c r="F69" s="37"/>
      <c r="G69" s="46"/>
      <c r="H69" s="46"/>
      <c r="I69" s="46"/>
      <c r="J69" s="46"/>
      <c r="K69" s="36"/>
      <c r="L69" s="36"/>
      <c r="M69" s="36"/>
      <c r="N69" s="36"/>
      <c r="O69" s="138">
        <f>MAX($O$65,$O$67)</f>
        <v>203.22</v>
      </c>
    </row>
    <row r="70" spans="1:16" ht="13" x14ac:dyDescent="0.3">
      <c r="A70" s="37"/>
      <c r="B70" s="37"/>
      <c r="C70" s="37"/>
      <c r="D70" s="37"/>
      <c r="E70" s="37"/>
      <c r="F70" s="37"/>
      <c r="G70" s="46"/>
      <c r="H70" s="46"/>
      <c r="I70" s="46"/>
      <c r="J70" s="46"/>
      <c r="K70" s="36"/>
      <c r="L70" s="36"/>
      <c r="M70" s="36"/>
      <c r="N70" s="36"/>
      <c r="O70" s="40"/>
    </row>
    <row r="71" spans="1:16" ht="13" x14ac:dyDescent="0.3">
      <c r="A71" s="37"/>
      <c r="B71" s="37"/>
      <c r="C71" s="37"/>
      <c r="D71" s="37"/>
      <c r="E71" s="37"/>
      <c r="F71" s="37"/>
      <c r="G71" s="96" t="s">
        <v>85</v>
      </c>
      <c r="H71" s="46"/>
      <c r="I71" s="37"/>
      <c r="J71" s="46"/>
      <c r="K71" s="36"/>
      <c r="L71" s="191"/>
      <c r="M71" s="191"/>
      <c r="N71" s="191"/>
      <c r="O71" s="191">
        <f>ROUND(IF($C$16&lt;1,0,$O$69/($C$16*100)*10000),2)</f>
        <v>0</v>
      </c>
      <c r="P71" s="37" t="s">
        <v>86</v>
      </c>
    </row>
    <row r="72" spans="1:16" ht="13" x14ac:dyDescent="0.3">
      <c r="A72" s="37"/>
      <c r="B72" s="37"/>
      <c r="C72" s="37"/>
      <c r="D72" s="37"/>
      <c r="E72" s="37"/>
      <c r="F72" s="37"/>
      <c r="G72" s="242" t="s">
        <v>199</v>
      </c>
      <c r="H72" s="136"/>
      <c r="I72" s="133"/>
      <c r="J72" s="136"/>
      <c r="K72" s="137"/>
      <c r="L72" s="78"/>
      <c r="M72" s="78"/>
      <c r="N72" s="78"/>
      <c r="O72" s="243">
        <f>ROUND(IF($C$16&lt;1,0,(L65)/($C$16*100)*10000),2)</f>
        <v>0</v>
      </c>
      <c r="P72" s="25" t="s">
        <v>86</v>
      </c>
    </row>
    <row r="73" spans="1:16" ht="13" x14ac:dyDescent="0.3">
      <c r="A73" s="37"/>
      <c r="B73" s="37"/>
      <c r="C73" s="37"/>
      <c r="D73" s="37"/>
      <c r="E73" s="37"/>
      <c r="F73" s="37"/>
      <c r="G73" s="96"/>
      <c r="H73" s="46"/>
      <c r="I73" s="96"/>
      <c r="J73" s="46"/>
      <c r="K73" s="36"/>
      <c r="L73" s="36"/>
      <c r="M73" s="36"/>
      <c r="N73" s="36"/>
      <c r="O73" s="130"/>
      <c r="P73" s="37"/>
    </row>
    <row r="74" spans="1:16" ht="20.25" customHeight="1" x14ac:dyDescent="0.4">
      <c r="A74" s="3"/>
      <c r="B74" s="37"/>
      <c r="C74" s="37"/>
      <c r="D74" s="228" t="str">
        <f>IF('Customer Info'!$C$32=TRUE,"Notice: Billing Charge does not include Self Assessed KWH Tax"," ")</f>
        <v xml:space="preserve"> </v>
      </c>
      <c r="E74" s="3"/>
      <c r="F74" s="4"/>
      <c r="G74" s="121"/>
      <c r="H74" s="55"/>
      <c r="I74" s="34"/>
      <c r="J74" s="55"/>
      <c r="K74" s="37"/>
      <c r="L74" s="37"/>
      <c r="M74" s="37"/>
      <c r="N74" s="34"/>
    </row>
    <row r="75" spans="1:16" ht="13" x14ac:dyDescent="0.3">
      <c r="A75" s="37"/>
      <c r="B75" s="37"/>
      <c r="C75" s="37"/>
      <c r="D75" s="54"/>
      <c r="E75" s="3"/>
      <c r="F75" s="4"/>
      <c r="G75" s="55"/>
      <c r="H75" s="55"/>
      <c r="I75" s="93"/>
      <c r="J75" s="55"/>
      <c r="K75" s="37"/>
      <c r="L75" s="37"/>
      <c r="M75" s="37"/>
      <c r="N75" s="37"/>
      <c r="O75" s="40"/>
    </row>
    <row r="76" spans="1:16" ht="13" x14ac:dyDescent="0.3">
      <c r="A76" s="37"/>
      <c r="B76" s="37"/>
      <c r="C76" s="37"/>
      <c r="D76" s="54"/>
      <c r="E76" s="3"/>
      <c r="F76" s="4"/>
      <c r="G76" s="55"/>
      <c r="H76" s="55"/>
      <c r="I76" s="55"/>
      <c r="J76" s="55"/>
      <c r="K76" s="37"/>
      <c r="L76" s="37"/>
      <c r="M76" s="37"/>
      <c r="N76" s="37"/>
      <c r="O76" s="40"/>
    </row>
    <row r="77" spans="1:16" ht="13" x14ac:dyDescent="0.3">
      <c r="A77" s="41"/>
      <c r="B77" s="37"/>
      <c r="C77" s="37"/>
      <c r="D77" s="37"/>
      <c r="E77" s="37"/>
      <c r="F77" s="37"/>
      <c r="G77" s="37"/>
      <c r="H77" s="37"/>
      <c r="J77" s="37"/>
      <c r="K77" s="37"/>
      <c r="L77" s="40"/>
      <c r="M77" s="40"/>
      <c r="N77" s="40"/>
      <c r="O77" s="138"/>
    </row>
    <row r="78" spans="1:16" ht="13" x14ac:dyDescent="0.3">
      <c r="B78" s="37"/>
      <c r="C78" s="37"/>
      <c r="D78" s="37"/>
      <c r="E78" s="37"/>
      <c r="F78" s="37"/>
      <c r="G78" s="96"/>
      <c r="H78" s="37"/>
      <c r="I78" s="37"/>
      <c r="J78" s="37"/>
      <c r="K78" s="37"/>
      <c r="L78" s="60"/>
      <c r="M78" s="60"/>
      <c r="N78" s="60"/>
      <c r="O78" s="130"/>
      <c r="P78" s="37"/>
    </row>
    <row r="79" spans="1:16" ht="13" x14ac:dyDescent="0.3">
      <c r="G79" s="133"/>
      <c r="H79" s="56"/>
      <c r="I79" s="133"/>
      <c r="J79" s="56"/>
      <c r="K79" s="56"/>
      <c r="L79" s="134"/>
      <c r="M79" s="134"/>
      <c r="N79" s="134"/>
      <c r="O79" s="135"/>
      <c r="P79" s="25"/>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row r="89" spans="1:1" x14ac:dyDescent="0.25">
      <c r="A89" s="434"/>
    </row>
    <row r="90" spans="1:1" x14ac:dyDescent="0.25">
      <c r="A90" s="434"/>
    </row>
    <row r="91" spans="1:1" x14ac:dyDescent="0.25">
      <c r="A91" s="434"/>
    </row>
    <row r="92" spans="1:1" x14ac:dyDescent="0.25">
      <c r="A92" s="434"/>
    </row>
    <row r="93" spans="1:1" x14ac:dyDescent="0.25">
      <c r="A93" s="434"/>
    </row>
    <row r="94" spans="1:1" x14ac:dyDescent="0.25">
      <c r="A94" s="434"/>
    </row>
    <row r="95" spans="1:1" x14ac:dyDescent="0.25">
      <c r="A95" s="434"/>
    </row>
  </sheetData>
  <sheetProtection algorithmName="SHA-512" hashValue="YVBGO6ELKkHDdrKQP32LLIkM/N2FTHnabOjKWFNQG+L74YY1DQX/a2i0UpgDKzkWobSUFr7A1DKywmbRZD9efw==" saltValue="4hdkkvPBjPkkKGFwV9y8Sg==" spinCount="100000" sheet="1" objects="1" scenarios="1"/>
  <mergeCells count="26">
    <mergeCell ref="A81:A95"/>
    <mergeCell ref="A4:P4"/>
    <mergeCell ref="A7:P7"/>
    <mergeCell ref="A11:I11"/>
    <mergeCell ref="D21:H21"/>
    <mergeCell ref="D22:H22"/>
    <mergeCell ref="G24:J24"/>
    <mergeCell ref="L24:O24"/>
    <mergeCell ref="FU2:GJ2"/>
    <mergeCell ref="GK2:GZ2"/>
    <mergeCell ref="HA2:HP2"/>
    <mergeCell ref="HQ2:IF2"/>
    <mergeCell ref="IG2:IV2"/>
    <mergeCell ref="A3:P3"/>
    <mergeCell ref="CC2:CR2"/>
    <mergeCell ref="CS2:DH2"/>
    <mergeCell ref="DI2:DX2"/>
    <mergeCell ref="DY2:EN2"/>
    <mergeCell ref="EO2:FD2"/>
    <mergeCell ref="FE2:FT2"/>
    <mergeCell ref="A1:P1"/>
    <mergeCell ref="A2:P2"/>
    <mergeCell ref="Q2:AF2"/>
    <mergeCell ref="AG2:AV2"/>
    <mergeCell ref="AW2:BL2"/>
    <mergeCell ref="BM2:CB2"/>
  </mergeCells>
  <printOptions horizontalCentered="1"/>
  <pageMargins left="0.5" right="0.5" top="0.25" bottom="0.25" header="0.25" footer="0.26"/>
  <pageSetup scale="55" orientation="landscape" r:id="rId1"/>
  <headerFooter alignWithMargins="0"/>
  <rowBreaks count="1" manualBreakCount="1">
    <brk id="7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76802" r:id="rId5" name="Button 2">
              <controlPr defaultSize="0" print="0" autoFill="0" autoPict="0" macro="[0]!Info">
                <anchor moveWithCells="1">
                  <from>
                    <xdr:col>15</xdr:col>
                    <xdr:colOff>279400</xdr:colOff>
                    <xdr:row>89</xdr:row>
                    <xdr:rowOff>50800</xdr:rowOff>
                  </from>
                  <to>
                    <xdr:col>16</xdr:col>
                    <xdr:colOff>31750</xdr:colOff>
                    <xdr:row>90</xdr:row>
                    <xdr:rowOff>88900</xdr:rowOff>
                  </to>
                </anchor>
              </controlPr>
            </control>
          </mc:Choice>
        </mc:AlternateContent>
        <mc:AlternateContent xmlns:mc="http://schemas.openxmlformats.org/markup-compatibility/2006">
          <mc:Choice Requires="x14">
            <control shapeId="76803"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6804"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6805"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6806"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6807"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6808"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6809"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6810"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6811"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6812"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6813"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6814"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6815"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6816"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6817"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6818"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6819"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6820"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6821"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6822"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6823"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6824"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6825"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6826"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6827"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6828"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6829"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6830"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6831"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6832"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6833"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6834"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6835"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6836"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6837"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6838"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6839"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6840"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6841"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6842"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6843"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6844"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6845"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6846"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6847"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6848"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6849"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6850"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6851"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6852"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6853"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6854"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6855"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76856"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76857"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76858"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1">
    <pageSetUpPr fitToPage="1"/>
  </sheetPr>
  <dimension ref="A1:IV94"/>
  <sheetViews>
    <sheetView showGridLines="0" zoomScale="80" zoomScaleNormal="80" workbookViewId="0">
      <selection activeCell="C9" sqref="C9"/>
    </sheetView>
  </sheetViews>
  <sheetFormatPr defaultRowHeight="12.5" x14ac:dyDescent="0.25"/>
  <cols>
    <col min="1" max="1" width="31" customWidth="1"/>
    <col min="2" max="2" width="2.1796875" customWidth="1"/>
    <col min="3" max="3" width="19.26953125" customWidth="1"/>
    <col min="4" max="4" width="15.26953125" customWidth="1"/>
    <col min="5" max="5" width="9.81640625" customWidth="1"/>
    <col min="6" max="6" width="3.7265625" customWidth="1"/>
    <col min="7" max="8" width="13.26953125" customWidth="1"/>
    <col min="9" max="9" width="14.54296875" customWidth="1"/>
    <col min="10" max="10" width="13.26953125" customWidth="1"/>
    <col min="11" max="11" width="7" customWidth="1"/>
    <col min="12" max="12" width="15.1796875" customWidth="1"/>
    <col min="13" max="14" width="14.453125" customWidth="1"/>
    <col min="15" max="15" width="16.26953125" bestFit="1" customWidth="1"/>
    <col min="16" max="16" width="13.81640625" bestFit="1" customWidth="1"/>
    <col min="18" max="26" width="9.1796875" hidden="1" customWidth="1"/>
    <col min="27" max="27" width="10.54296875" hidden="1" customWidth="1"/>
    <col min="28" max="29" width="9.1796875" hidden="1" customWidth="1"/>
    <col min="30" max="30" width="10" hidden="1" customWidth="1"/>
    <col min="31" max="31" width="9.1796875" hidden="1" customWidth="1"/>
  </cols>
  <sheetData>
    <row r="1" spans="1:256" ht="20" x14ac:dyDescent="0.4">
      <c r="A1" s="451" t="s">
        <v>119</v>
      </c>
      <c r="B1" s="451"/>
      <c r="C1" s="451"/>
      <c r="D1" s="451"/>
      <c r="E1" s="451"/>
      <c r="F1" s="451"/>
      <c r="G1" s="451"/>
      <c r="H1" s="451"/>
      <c r="I1" s="451"/>
      <c r="J1" s="451"/>
      <c r="K1" s="451"/>
      <c r="L1" s="451"/>
      <c r="M1" s="451"/>
      <c r="N1" s="451"/>
      <c r="O1" s="451"/>
      <c r="P1" s="451"/>
    </row>
    <row r="2" spans="1:256" ht="20" x14ac:dyDescent="0.4">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436"/>
      <c r="HZ2" s="436"/>
      <c r="IA2" s="436"/>
      <c r="IB2" s="436"/>
      <c r="IC2" s="436"/>
      <c r="ID2" s="436"/>
      <c r="IE2" s="436"/>
      <c r="IF2" s="436"/>
      <c r="IG2" s="436"/>
      <c r="IH2" s="436"/>
      <c r="II2" s="436"/>
      <c r="IJ2" s="436"/>
      <c r="IK2" s="436"/>
      <c r="IL2" s="436"/>
      <c r="IM2" s="436"/>
      <c r="IN2" s="436"/>
      <c r="IO2" s="436"/>
      <c r="IP2" s="436"/>
      <c r="IQ2" s="436"/>
      <c r="IR2" s="436"/>
      <c r="IS2" s="436"/>
      <c r="IT2" s="436"/>
      <c r="IU2" s="436"/>
      <c r="IV2" s="436"/>
    </row>
    <row r="3" spans="1:256" ht="18" x14ac:dyDescent="0.4">
      <c r="A3" s="452" t="s">
        <v>275</v>
      </c>
      <c r="B3" s="452"/>
      <c r="C3" s="452"/>
      <c r="D3" s="452"/>
      <c r="E3" s="452"/>
      <c r="F3" s="452"/>
      <c r="G3" s="452"/>
      <c r="H3" s="452"/>
      <c r="I3" s="452"/>
      <c r="J3" s="452"/>
      <c r="K3" s="452"/>
      <c r="L3" s="452"/>
      <c r="M3" s="452"/>
      <c r="N3" s="452"/>
      <c r="O3" s="452"/>
      <c r="P3" s="452"/>
    </row>
    <row r="4" spans="1:256"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256" ht="15.5" x14ac:dyDescent="0.35">
      <c r="A5" s="75"/>
      <c r="B5" s="75"/>
      <c r="C5" s="75"/>
      <c r="D5" s="75"/>
      <c r="E5" s="75"/>
      <c r="F5" s="75"/>
      <c r="G5" s="75"/>
      <c r="H5" s="75"/>
      <c r="I5" s="75"/>
      <c r="J5" s="75"/>
      <c r="K5" s="75"/>
    </row>
    <row r="6" spans="1:256" x14ac:dyDescent="0.25">
      <c r="A6" s="76">
        <f ca="1">TODAY()</f>
        <v>45378</v>
      </c>
      <c r="B6" s="210" t="s">
        <v>276</v>
      </c>
      <c r="C6" s="276"/>
      <c r="D6" s="276"/>
      <c r="E6" s="276"/>
      <c r="F6" s="276"/>
      <c r="G6" s="276"/>
      <c r="H6" s="276"/>
      <c r="I6" s="276"/>
      <c r="J6" s="276"/>
      <c r="K6" s="276"/>
    </row>
    <row r="7" spans="1:256" ht="25" x14ac:dyDescent="0.5">
      <c r="A7" s="453"/>
      <c r="B7" s="453"/>
      <c r="C7" s="453"/>
      <c r="D7" s="453"/>
      <c r="E7" s="453"/>
      <c r="F7" s="453"/>
      <c r="G7" s="453"/>
      <c r="H7" s="453"/>
      <c r="I7" s="453"/>
      <c r="J7" s="453"/>
      <c r="K7" s="453"/>
      <c r="L7" s="453"/>
      <c r="M7" s="453"/>
      <c r="N7" s="453"/>
      <c r="O7" s="453"/>
      <c r="P7" s="453"/>
    </row>
    <row r="8" spans="1:256" ht="15.5" x14ac:dyDescent="0.35">
      <c r="A8" s="23" t="s">
        <v>2</v>
      </c>
      <c r="B8" s="24"/>
      <c r="C8" s="25">
        <f>'Customer Info'!B7</f>
        <v>0</v>
      </c>
      <c r="I8" s="26"/>
    </row>
    <row r="9" spans="1:256" ht="15.5" x14ac:dyDescent="0.35">
      <c r="A9" s="27" t="s">
        <v>26</v>
      </c>
      <c r="B9" s="24"/>
      <c r="C9" s="25">
        <f>'Customer Info'!B8</f>
        <v>0</v>
      </c>
    </row>
    <row r="10" spans="1:256" ht="13" x14ac:dyDescent="0.3">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3">
      <c r="A11" s="446"/>
      <c r="B11" s="446"/>
      <c r="C11" s="446"/>
      <c r="D11" s="446"/>
      <c r="E11" s="446"/>
      <c r="F11" s="446"/>
      <c r="G11" s="446"/>
      <c r="H11" s="446"/>
      <c r="I11" s="446"/>
      <c r="R11" t="s">
        <v>114</v>
      </c>
      <c r="S11" s="145" t="s">
        <v>101</v>
      </c>
      <c r="T11" s="145" t="s">
        <v>102</v>
      </c>
      <c r="U11" s="145" t="s">
        <v>103</v>
      </c>
      <c r="V11" s="145" t="s">
        <v>104</v>
      </c>
      <c r="W11" s="145" t="s">
        <v>105</v>
      </c>
      <c r="X11" s="145" t="s">
        <v>106</v>
      </c>
      <c r="Y11" s="145" t="s">
        <v>107</v>
      </c>
      <c r="Z11" s="145" t="s">
        <v>108</v>
      </c>
      <c r="AA11" s="145" t="s">
        <v>109</v>
      </c>
      <c r="AB11" s="145" t="s">
        <v>111</v>
      </c>
      <c r="AC11" s="145" t="s">
        <v>110</v>
      </c>
      <c r="AD11" s="145" t="s">
        <v>112</v>
      </c>
    </row>
    <row r="12" spans="1:256" ht="13" x14ac:dyDescent="0.3">
      <c r="A12" s="28" t="s">
        <v>27</v>
      </c>
      <c r="B12" s="22"/>
      <c r="C12" s="22"/>
      <c r="D12" s="22"/>
      <c r="E12" s="22"/>
      <c r="F12" s="22"/>
      <c r="G12" s="22"/>
      <c r="H12" s="22"/>
      <c r="I12" s="22"/>
      <c r="J12" s="22"/>
      <c r="K12" s="22"/>
      <c r="L12" s="22"/>
      <c r="M12" s="22"/>
      <c r="N12" s="22"/>
      <c r="O12" s="22"/>
      <c r="P12" s="22"/>
      <c r="R12" s="3" t="s">
        <v>196</v>
      </c>
      <c r="S12" s="207">
        <f>'Rider Rates'!$C$25</f>
        <v>0.10049</v>
      </c>
      <c r="T12" s="207">
        <f>'Rider Rates'!$C$25</f>
        <v>0.10049</v>
      </c>
      <c r="U12" s="207">
        <f>'Rider Rates'!$C$25</f>
        <v>0.10049</v>
      </c>
      <c r="V12" s="207">
        <f>'Rider Rates'!$C$25</f>
        <v>0.10049</v>
      </c>
      <c r="W12" s="207">
        <f>'Rider Rates'!$C$25</f>
        <v>0.10049</v>
      </c>
      <c r="X12" s="207">
        <f>'Rider Rates'!$C$25</f>
        <v>0.10049</v>
      </c>
      <c r="Y12" s="207">
        <f>'Rider Rates'!$C$25</f>
        <v>0.10049</v>
      </c>
      <c r="Z12" s="207">
        <f>'Rider Rates'!$C$25</f>
        <v>0.10049</v>
      </c>
      <c r="AA12" s="207">
        <f>'Rider Rates'!$C$25</f>
        <v>0.10049</v>
      </c>
      <c r="AB12" s="207">
        <f>'Rider Rates'!$C$25</f>
        <v>0.10049</v>
      </c>
      <c r="AC12" s="207">
        <f>'Rider Rates'!$C$25</f>
        <v>0.10049</v>
      </c>
      <c r="AD12" s="207">
        <f>'Rider Rates'!$C$25</f>
        <v>0.10049</v>
      </c>
      <c r="AE12" s="207"/>
      <c r="AF12" s="207"/>
    </row>
    <row r="13" spans="1:256" x14ac:dyDescent="0.25">
      <c r="A13" s="18"/>
      <c r="B13" s="18"/>
      <c r="C13" s="59" t="s">
        <v>54</v>
      </c>
      <c r="D13" s="59" t="s">
        <v>55</v>
      </c>
      <c r="E13" s="18"/>
      <c r="F13" s="18"/>
      <c r="G13" s="18"/>
      <c r="H13" s="18"/>
      <c r="I13" s="18"/>
      <c r="J13" s="18"/>
      <c r="K13" s="18"/>
      <c r="L13" s="18"/>
      <c r="M13" s="18"/>
      <c r="N13" s="18"/>
      <c r="O13" s="18"/>
    </row>
    <row r="14" spans="1:256" x14ac:dyDescent="0.25">
      <c r="A14" s="29" t="s">
        <v>28</v>
      </c>
      <c r="B14" s="29"/>
      <c r="C14" s="44">
        <f>'Customer Info'!B18</f>
        <v>0</v>
      </c>
      <c r="D14" s="44">
        <f>ROUND(C14*C19,1)</f>
        <v>0</v>
      </c>
      <c r="E14" s="29" t="s">
        <v>45</v>
      </c>
      <c r="F14" s="30"/>
      <c r="G14" s="29" t="s">
        <v>15</v>
      </c>
      <c r="I14" s="53" t="s">
        <v>15</v>
      </c>
      <c r="J14" s="29"/>
      <c r="K14" s="29"/>
      <c r="L14" s="29"/>
      <c r="M14" s="29"/>
      <c r="N14" s="29"/>
    </row>
    <row r="15" spans="1:256" x14ac:dyDescent="0.25">
      <c r="A15" s="31" t="s">
        <v>29</v>
      </c>
      <c r="B15" s="31"/>
      <c r="C15" s="44">
        <f>'Customer Info'!B19</f>
        <v>0</v>
      </c>
      <c r="D15" s="44">
        <f>C15*C19</f>
        <v>0</v>
      </c>
      <c r="E15" s="29" t="s">
        <v>45</v>
      </c>
      <c r="F15" s="33"/>
      <c r="G15" s="31" t="s">
        <v>30</v>
      </c>
      <c r="I15" s="51" t="str">
        <f>IF(MAX(C14,C15)&gt;0,C16/(MAX(C14,C15)*730), " ")</f>
        <v xml:space="preserve"> </v>
      </c>
      <c r="J15" s="31"/>
      <c r="K15" s="31"/>
      <c r="L15" s="31"/>
      <c r="M15" s="31"/>
      <c r="N15" s="31"/>
      <c r="X15" s="207"/>
      <c r="Y15" s="207"/>
      <c r="Z15" s="207"/>
      <c r="AA15" s="207"/>
    </row>
    <row r="16" spans="1:256" x14ac:dyDescent="0.25">
      <c r="A16" s="31" t="s">
        <v>43</v>
      </c>
      <c r="B16" s="31"/>
      <c r="C16" s="32">
        <f>IF('Customer Info'!B21+'Customer Info'!B22-'Customer Info'!B23&lt;0,0,'Customer Info'!B21+'Customer Info'!B22-'Customer Info'!B23)</f>
        <v>0</v>
      </c>
      <c r="D16" s="32">
        <f>C16*C19</f>
        <v>0</v>
      </c>
      <c r="E16" s="31" t="s">
        <v>41</v>
      </c>
      <c r="F16" s="33"/>
      <c r="G16" s="31"/>
      <c r="H16" s="31"/>
      <c r="I16" s="31"/>
      <c r="J16" s="31"/>
      <c r="K16" s="31"/>
      <c r="L16" s="31"/>
      <c r="M16" s="31"/>
      <c r="N16" s="31"/>
      <c r="O16" s="31"/>
    </row>
    <row r="17" spans="1:32" x14ac:dyDescent="0.25">
      <c r="A17" s="31" t="s">
        <v>129</v>
      </c>
      <c r="B17" s="31"/>
      <c r="C17" s="32">
        <f>'Customer Info'!$B$26</f>
        <v>0</v>
      </c>
      <c r="D17" s="32">
        <f>C17*C19</f>
        <v>0</v>
      </c>
      <c r="E17" s="31" t="s">
        <v>268</v>
      </c>
      <c r="F17" s="33"/>
      <c r="K17" s="31"/>
      <c r="L17" s="31"/>
      <c r="M17" s="31"/>
      <c r="N17" s="31"/>
    </row>
    <row r="18" spans="1:32" x14ac:dyDescent="0.25">
      <c r="A18" s="31" t="s">
        <v>267</v>
      </c>
      <c r="B18" s="31"/>
      <c r="C18" s="32"/>
      <c r="D18" s="32">
        <f>IF((D17-(ROUND(MAX(D14,D15)*0.5,1)))&lt;0,0,(D17-(ROUND(MAX(D14,D15)*0.5,1))))</f>
        <v>0</v>
      </c>
      <c r="E18" s="31" t="s">
        <v>271</v>
      </c>
      <c r="F18" s="33"/>
      <c r="K18" s="31"/>
      <c r="L18" s="31"/>
      <c r="M18" s="31"/>
      <c r="N18" s="31"/>
    </row>
    <row r="19" spans="1:32" ht="13" x14ac:dyDescent="0.3">
      <c r="A19" s="31" t="s">
        <v>53</v>
      </c>
      <c r="B19" s="31"/>
      <c r="C19" s="58">
        <f>+'Customer Info'!E18</f>
        <v>1</v>
      </c>
      <c r="D19" s="31"/>
      <c r="E19" s="31"/>
      <c r="F19" s="33"/>
      <c r="G19" s="23"/>
      <c r="H19" s="23"/>
      <c r="I19" s="23"/>
      <c r="J19" s="23"/>
      <c r="K19" s="31"/>
      <c r="L19" s="31"/>
      <c r="M19" s="31"/>
      <c r="N19" s="31"/>
      <c r="S19" s="207"/>
      <c r="T19" s="207"/>
      <c r="U19" s="207"/>
      <c r="V19" s="207"/>
      <c r="W19" s="207"/>
      <c r="X19" s="207"/>
      <c r="Y19" s="207"/>
      <c r="Z19" s="207"/>
      <c r="AA19" s="207"/>
      <c r="AB19" s="207"/>
      <c r="AC19" s="207"/>
      <c r="AD19" s="207"/>
    </row>
    <row r="20" spans="1:32" x14ac:dyDescent="0.25">
      <c r="A20" s="31" t="s">
        <v>15</v>
      </c>
      <c r="B20" s="31"/>
      <c r="C20" s="82" t="s">
        <v>15</v>
      </c>
      <c r="D20" s="455" t="s">
        <v>15</v>
      </c>
      <c r="E20" s="455"/>
      <c r="F20" s="455"/>
      <c r="G20" s="455"/>
      <c r="H20" s="455"/>
      <c r="K20" s="31"/>
      <c r="L20" s="31"/>
      <c r="M20" s="31"/>
      <c r="N20" s="31"/>
      <c r="O20" s="50"/>
    </row>
    <row r="21" spans="1:32" ht="13" x14ac:dyDescent="0.3">
      <c r="A21" s="31" t="s">
        <v>15</v>
      </c>
      <c r="B21" s="31"/>
      <c r="C21" s="82" t="s">
        <v>15</v>
      </c>
      <c r="D21" s="455" t="s">
        <v>15</v>
      </c>
      <c r="E21" s="455"/>
      <c r="F21" s="455"/>
      <c r="G21" s="455"/>
      <c r="H21" s="455"/>
      <c r="I21" s="23"/>
      <c r="J21" s="23"/>
      <c r="K21" s="31"/>
      <c r="L21" s="31"/>
      <c r="M21" s="31"/>
      <c r="N21" s="31"/>
      <c r="O21" s="50"/>
    </row>
    <row r="22" spans="1:32" ht="13" x14ac:dyDescent="0.3">
      <c r="A22" s="31"/>
      <c r="B22" s="31"/>
      <c r="C22" s="33"/>
      <c r="D22" s="33"/>
      <c r="E22" s="33"/>
      <c r="F22" s="33"/>
      <c r="G22" s="23"/>
      <c r="H22" s="23"/>
      <c r="I22" s="23"/>
      <c r="J22" s="23"/>
      <c r="K22" s="31"/>
      <c r="L22" s="31"/>
      <c r="M22" s="31"/>
      <c r="N22" s="31"/>
      <c r="O22" s="31"/>
    </row>
    <row r="23" spans="1:32" ht="13" x14ac:dyDescent="0.3">
      <c r="A23" s="28" t="s">
        <v>31</v>
      </c>
      <c r="B23" s="22"/>
      <c r="C23" s="22"/>
      <c r="D23" s="22"/>
      <c r="E23" s="22"/>
      <c r="F23" s="22"/>
      <c r="G23" s="447" t="s">
        <v>67</v>
      </c>
      <c r="H23" s="448"/>
      <c r="I23" s="448"/>
      <c r="J23" s="449"/>
      <c r="K23" s="22"/>
      <c r="L23" s="450" t="s">
        <v>68</v>
      </c>
      <c r="M23" s="450"/>
      <c r="N23" s="450"/>
      <c r="O23" s="450"/>
    </row>
    <row r="24" spans="1:32" ht="13" x14ac:dyDescent="0.3">
      <c r="A24" s="18"/>
      <c r="B24" s="18"/>
      <c r="C24" s="18"/>
      <c r="D24" s="18"/>
      <c r="E24" s="18"/>
      <c r="F24" s="18"/>
      <c r="G24" s="8" t="s">
        <v>64</v>
      </c>
      <c r="H24" s="8" t="s">
        <v>65</v>
      </c>
      <c r="I24" s="8" t="s">
        <v>66</v>
      </c>
      <c r="J24" s="112" t="s">
        <v>34</v>
      </c>
      <c r="K24" s="18"/>
      <c r="L24" s="131" t="s">
        <v>64</v>
      </c>
      <c r="M24" s="131" t="s">
        <v>65</v>
      </c>
      <c r="N24" s="131" t="s">
        <v>66</v>
      </c>
      <c r="O24" s="132" t="s">
        <v>34</v>
      </c>
      <c r="P24" s="43" t="s">
        <v>56</v>
      </c>
      <c r="AF24" s="226"/>
    </row>
    <row r="25" spans="1:32" x14ac:dyDescent="0.25">
      <c r="A25" t="s">
        <v>32</v>
      </c>
      <c r="G25" s="86"/>
      <c r="H25" s="86"/>
      <c r="I25" s="86">
        <f>IF(D14&gt;2000,3600,825)</f>
        <v>825</v>
      </c>
      <c r="J25" s="86">
        <f>SUM(G25:I25)</f>
        <v>825</v>
      </c>
      <c r="L25" s="88"/>
      <c r="M25" s="88"/>
      <c r="N25" s="88">
        <f>I25</f>
        <v>825</v>
      </c>
      <c r="O25" s="209">
        <f>SUM(L25:N25)</f>
        <v>825</v>
      </c>
      <c r="P25" s="245">
        <v>44531</v>
      </c>
      <c r="AF25" s="226"/>
    </row>
    <row r="26" spans="1:32" x14ac:dyDescent="0.25">
      <c r="A26" t="s">
        <v>132</v>
      </c>
      <c r="D26" s="1">
        <f>D16</f>
        <v>0</v>
      </c>
      <c r="E26" s="101" t="s">
        <v>41</v>
      </c>
      <c r="F26" s="102" t="s">
        <v>8</v>
      </c>
      <c r="G26" s="84"/>
      <c r="H26" s="86"/>
      <c r="I26" s="86"/>
      <c r="J26" s="84"/>
      <c r="K26" s="104" t="s">
        <v>42</v>
      </c>
      <c r="L26" s="87"/>
      <c r="M26" s="88"/>
      <c r="N26" s="87"/>
      <c r="O26" s="209"/>
      <c r="P26" s="245"/>
      <c r="AF26" s="226"/>
    </row>
    <row r="27" spans="1:32" x14ac:dyDescent="0.25">
      <c r="A27" t="s">
        <v>33</v>
      </c>
      <c r="D27" s="294">
        <f>ROUND(MAX(D14,D15,('Customer Info'!B14-100)*0.6,('Customer Info'!B16-100)*0.6),1)</f>
        <v>0</v>
      </c>
      <c r="E27" s="29" t="s">
        <v>45</v>
      </c>
      <c r="F27" s="4" t="s">
        <v>8</v>
      </c>
      <c r="G27" s="85"/>
      <c r="H27" s="85"/>
      <c r="I27" s="85">
        <v>0</v>
      </c>
      <c r="J27" s="85">
        <f>SUM(G27:I27)</f>
        <v>0</v>
      </c>
      <c r="K27" s="36" t="s">
        <v>44</v>
      </c>
      <c r="L27" s="87"/>
      <c r="M27" s="87"/>
      <c r="N27" s="87">
        <f>ROUND($D27*I27,2)</f>
        <v>0</v>
      </c>
      <c r="O27" s="209">
        <f>SUM(L27:N27)</f>
        <v>0</v>
      </c>
      <c r="P27" s="245">
        <v>44531</v>
      </c>
      <c r="AF27" s="295"/>
    </row>
    <row r="28" spans="1:32" x14ac:dyDescent="0.25">
      <c r="A28" t="s">
        <v>272</v>
      </c>
      <c r="D28" s="49">
        <f>D18</f>
        <v>0</v>
      </c>
      <c r="E28" s="29" t="s">
        <v>270</v>
      </c>
      <c r="F28" s="4" t="s">
        <v>8</v>
      </c>
      <c r="G28" s="116"/>
      <c r="H28" s="85"/>
      <c r="I28" s="85">
        <v>0.7</v>
      </c>
      <c r="J28" s="116">
        <f>SUM(G28:I28)</f>
        <v>0.7</v>
      </c>
      <c r="K28" s="36" t="s">
        <v>44</v>
      </c>
      <c r="L28" s="87"/>
      <c r="M28" s="87"/>
      <c r="N28" s="87">
        <f>ROUND($D28*I28,2)</f>
        <v>0</v>
      </c>
      <c r="O28" s="87">
        <f>SUM(L28:N28)</f>
        <v>0</v>
      </c>
      <c r="P28" s="245">
        <v>44531</v>
      </c>
      <c r="AF28" s="295"/>
    </row>
    <row r="29" spans="1:32" ht="13" x14ac:dyDescent="0.3">
      <c r="A29" s="37" t="s">
        <v>50</v>
      </c>
      <c r="B29" s="37"/>
      <c r="C29" s="37"/>
      <c r="D29" s="38"/>
      <c r="E29" s="38"/>
      <c r="F29" s="37"/>
      <c r="G29" s="37"/>
      <c r="H29" s="37"/>
      <c r="I29" s="37"/>
      <c r="J29" s="37"/>
      <c r="K29" s="39"/>
      <c r="L29" s="40"/>
      <c r="M29" s="40"/>
      <c r="N29" s="40">
        <f>SUM(N25:N28)</f>
        <v>825</v>
      </c>
      <c r="O29" s="40">
        <f>SUM(O25:O28)</f>
        <v>825</v>
      </c>
      <c r="AF29" s="226"/>
    </row>
    <row r="30" spans="1:32" ht="13" x14ac:dyDescent="0.3">
      <c r="A30" s="89"/>
      <c r="B30" s="89"/>
      <c r="C30" s="90"/>
      <c r="D30" s="90"/>
      <c r="E30" s="90"/>
      <c r="F30" s="90"/>
      <c r="G30" s="91"/>
      <c r="H30" s="91"/>
      <c r="I30" s="91"/>
      <c r="J30" s="91"/>
      <c r="K30" s="89"/>
      <c r="L30" s="89"/>
      <c r="M30" s="89"/>
      <c r="N30" s="89"/>
      <c r="O30" s="89"/>
      <c r="P30" s="89"/>
      <c r="AF30" s="226"/>
    </row>
    <row r="31" spans="1:32" ht="13" x14ac:dyDescent="0.3">
      <c r="A31" s="41" t="s">
        <v>69</v>
      </c>
      <c r="D31" s="1"/>
      <c r="E31" s="1"/>
      <c r="K31" s="36"/>
      <c r="L31" s="36"/>
      <c r="M31" s="36"/>
      <c r="N31" s="36"/>
      <c r="O31" s="34"/>
      <c r="P31" s="34"/>
      <c r="AF31" s="226"/>
    </row>
    <row r="32" spans="1:32" ht="13" x14ac:dyDescent="0.3">
      <c r="A32" s="37"/>
      <c r="D32" s="1"/>
      <c r="E32" s="1"/>
      <c r="K32" s="36"/>
      <c r="L32" s="36"/>
      <c r="M32" s="36"/>
      <c r="N32" s="36"/>
      <c r="O32" s="34"/>
      <c r="AF32" s="226"/>
    </row>
    <row r="33" spans="1:220" x14ac:dyDescent="0.25">
      <c r="A33" s="78" t="s">
        <v>78</v>
      </c>
      <c r="D33" s="297">
        <f>IF($C$16&lt;0,0,IF($C$16&gt;833000,833000,$C$16))</f>
        <v>0</v>
      </c>
      <c r="E33" s="35" t="s">
        <v>41</v>
      </c>
      <c r="F33" s="4" t="s">
        <v>8</v>
      </c>
      <c r="G33" s="83"/>
      <c r="H33" s="84"/>
      <c r="I33" s="103">
        <f>'Rider Rates'!$B$4</f>
        <v>5.9216E-3</v>
      </c>
      <c r="J33" s="6">
        <f>SUM(G33:I33)</f>
        <v>5.9216E-3</v>
      </c>
      <c r="K33" s="36" t="s">
        <v>42</v>
      </c>
      <c r="L33" s="87"/>
      <c r="M33" s="87"/>
      <c r="N33" s="87">
        <f>ROUND($D33*I33,2)</f>
        <v>0</v>
      </c>
      <c r="O33" s="87">
        <f>SUM(L33:N33)</f>
        <v>0</v>
      </c>
      <c r="P33" s="245">
        <f>'Rider Rates'!$D$4</f>
        <v>45293</v>
      </c>
      <c r="AF33" s="226"/>
    </row>
    <row r="34" spans="1:220" x14ac:dyDescent="0.25">
      <c r="A34" s="78" t="s">
        <v>79</v>
      </c>
      <c r="D34" s="297">
        <f>IF($C$16-833000&gt;0,$C$16-D33,0)</f>
        <v>0</v>
      </c>
      <c r="E34" s="35" t="s">
        <v>41</v>
      </c>
      <c r="F34" s="4" t="s">
        <v>8</v>
      </c>
      <c r="G34" s="83"/>
      <c r="H34" s="84"/>
      <c r="I34" s="103">
        <f>'Rider Rates'!$B$5</f>
        <v>1.7560000000000001E-4</v>
      </c>
      <c r="J34" s="118">
        <f>SUM(G34:I34)</f>
        <v>1.7560000000000001E-4</v>
      </c>
      <c r="K34" s="36" t="s">
        <v>42</v>
      </c>
      <c r="L34" s="87"/>
      <c r="M34" s="87"/>
      <c r="N34" s="87">
        <f>ROUND($D34*I34,2)</f>
        <v>0</v>
      </c>
      <c r="O34" s="87">
        <f>SUM(L34:N34)</f>
        <v>0</v>
      </c>
      <c r="P34" s="245">
        <f>'Rider Rates'!$D$4</f>
        <v>45293</v>
      </c>
      <c r="AF34" s="226"/>
    </row>
    <row r="35" spans="1:220" x14ac:dyDescent="0.25">
      <c r="A35" s="78" t="s">
        <v>47</v>
      </c>
      <c r="B35" t="s">
        <v>15</v>
      </c>
      <c r="D35" s="297">
        <f>IF('Customer Info'!$C$32=TRUE,0,IF(C16&lt;0,0,IF(C16&gt;2000,2000,C16)))</f>
        <v>0</v>
      </c>
      <c r="E35" s="35" t="s">
        <v>41</v>
      </c>
      <c r="F35" s="4" t="s">
        <v>8</v>
      </c>
      <c r="G35" s="83"/>
      <c r="H35" s="84"/>
      <c r="I35" s="177">
        <f>'Rider Rates'!$B$8</f>
        <v>4.6499999999999996E-3</v>
      </c>
      <c r="J35" s="117">
        <f>SUM(G35:I35)</f>
        <v>4.6499999999999996E-3</v>
      </c>
      <c r="K35" s="36" t="s">
        <v>42</v>
      </c>
      <c r="L35" s="87"/>
      <c r="M35" s="87"/>
      <c r="N35" s="87">
        <f>ROUND($D35*I35,2)</f>
        <v>0</v>
      </c>
      <c r="O35" s="87">
        <f>SUM(L35:N35)</f>
        <v>0</v>
      </c>
      <c r="P35" s="245">
        <f>'Rider Rates'!$D$7</f>
        <v>44531</v>
      </c>
      <c r="AF35" s="226"/>
    </row>
    <row r="36" spans="1:220" x14ac:dyDescent="0.25">
      <c r="A36" s="78" t="s">
        <v>48</v>
      </c>
      <c r="B36" t="s">
        <v>15</v>
      </c>
      <c r="D36" s="297">
        <f>IF('Customer Info'!$C$32=TRUE,0,IF(C16&gt;15000,13000,IF(C16&gt;2000,C16-2000,0)))</f>
        <v>0</v>
      </c>
      <c r="E36" s="35" t="s">
        <v>41</v>
      </c>
      <c r="F36" s="4" t="s">
        <v>8</v>
      </c>
      <c r="G36" s="83"/>
      <c r="H36" s="84"/>
      <c r="I36" s="177">
        <f>'Rider Rates'!$B$9</f>
        <v>4.1900000000000001E-3</v>
      </c>
      <c r="J36" s="117">
        <f>SUM(G36:I36)</f>
        <v>4.1900000000000001E-3</v>
      </c>
      <c r="K36" s="36" t="s">
        <v>42</v>
      </c>
      <c r="L36" s="87"/>
      <c r="M36" s="87"/>
      <c r="N36" s="87">
        <f>ROUND($D36*I36,2)</f>
        <v>0</v>
      </c>
      <c r="O36" s="87">
        <f>SUM(L36:N36)</f>
        <v>0</v>
      </c>
      <c r="P36" s="245">
        <f>'Rider Rates'!$D$7</f>
        <v>44531</v>
      </c>
      <c r="AF36" s="226"/>
    </row>
    <row r="37" spans="1:220" x14ac:dyDescent="0.25">
      <c r="A37" s="78" t="s">
        <v>49</v>
      </c>
      <c r="B37" t="s">
        <v>15</v>
      </c>
      <c r="D37" s="297">
        <f>IF('Customer Info'!$C$32=TRUE,0,IF(C16-D35-D36&gt;0,C16-D35-D36,0))</f>
        <v>0</v>
      </c>
      <c r="E37" s="35" t="s">
        <v>41</v>
      </c>
      <c r="F37" s="4" t="s">
        <v>8</v>
      </c>
      <c r="G37" s="83"/>
      <c r="H37" s="84"/>
      <c r="I37" s="177">
        <f>'Rider Rates'!$B$10</f>
        <v>3.63E-3</v>
      </c>
      <c r="J37" s="117">
        <f>SUM(G37:I37)</f>
        <v>3.63E-3</v>
      </c>
      <c r="K37" s="36" t="s">
        <v>42</v>
      </c>
      <c r="L37" s="87"/>
      <c r="M37" s="87"/>
      <c r="N37" s="87">
        <f>ROUND($D37*I37,2)</f>
        <v>0</v>
      </c>
      <c r="O37" s="87">
        <f>SUM(L37:N37)</f>
        <v>0</v>
      </c>
      <c r="P37" s="245">
        <f>'Rider Rates'!$D$7</f>
        <v>44531</v>
      </c>
      <c r="AF37" s="226"/>
    </row>
    <row r="38" spans="1:220" ht="13" x14ac:dyDescent="0.3">
      <c r="A38" s="241" t="s">
        <v>247</v>
      </c>
      <c r="B38" s="78"/>
      <c r="C38" s="78"/>
      <c r="D38" s="298">
        <f>$N$29</f>
        <v>825</v>
      </c>
      <c r="E38" s="101" t="s">
        <v>121</v>
      </c>
      <c r="F38" s="102" t="s">
        <v>8</v>
      </c>
      <c r="G38" s="103"/>
      <c r="H38" s="103"/>
      <c r="I38" s="178">
        <f>'Rider Rates'!$B$18+'Rider Rates'!$E$18</f>
        <v>0</v>
      </c>
      <c r="J38" s="120">
        <f>SUM(H38:I38)</f>
        <v>0</v>
      </c>
      <c r="K38" s="104"/>
      <c r="L38" s="105"/>
      <c r="M38" s="105"/>
      <c r="N38" s="105">
        <f>ROUND($D$38*'Rider Rates'!$B$18,2)+ROUND($D$38*'Rider Rates'!$E$18,2)</f>
        <v>0</v>
      </c>
      <c r="O38" s="105">
        <f t="shared" ref="O38:O44" si="0">SUM(L38:N38)</f>
        <v>0</v>
      </c>
      <c r="P38" s="245">
        <f>MAX('Rider Rates'!$D$18,'Rider Rates'!$F$18)</f>
        <v>44531</v>
      </c>
      <c r="AF38" s="226"/>
    </row>
    <row r="39" spans="1:220" x14ac:dyDescent="0.25">
      <c r="A39" s="210" t="s">
        <v>195</v>
      </c>
      <c r="B39" s="78"/>
      <c r="C39" s="78"/>
      <c r="D39" s="297">
        <f>'Customer Info'!$B$21+'Customer Info'!$B$22-'Customer Info'!$B$23</f>
        <v>0</v>
      </c>
      <c r="E39" s="101" t="s">
        <v>41</v>
      </c>
      <c r="F39" s="102" t="s">
        <v>8</v>
      </c>
      <c r="G39" s="103">
        <f>'Rider Rates'!B25</f>
        <v>0.10049</v>
      </c>
      <c r="H39" s="103"/>
      <c r="I39" s="103"/>
      <c r="J39" s="237">
        <f>SUM(G39:H39)</f>
        <v>0.10049</v>
      </c>
      <c r="K39" s="104" t="s">
        <v>42</v>
      </c>
      <c r="L39" s="105">
        <f>ROUND(D39*G39,2)</f>
        <v>0</v>
      </c>
      <c r="M39" s="105"/>
      <c r="N39" s="105"/>
      <c r="O39" s="105">
        <f t="shared" si="0"/>
        <v>0</v>
      </c>
      <c r="P39" s="245">
        <f>'Rider Rates'!$D$23</f>
        <v>45078</v>
      </c>
      <c r="AF39" s="226"/>
    </row>
    <row r="40" spans="1:220" x14ac:dyDescent="0.25">
      <c r="A40" s="241" t="s">
        <v>162</v>
      </c>
      <c r="B40" s="78"/>
      <c r="C40" s="78"/>
      <c r="D40" s="297">
        <f>'Customer Info'!$B$21+'Customer Info'!$B$22-'Customer Info'!$B$23</f>
        <v>0</v>
      </c>
      <c r="E40" s="101" t="s">
        <v>41</v>
      </c>
      <c r="F40" s="102" t="s">
        <v>8</v>
      </c>
      <c r="G40" s="103">
        <f>'Rider Rates'!$B$43</f>
        <v>1.6800000000000001E-3</v>
      </c>
      <c r="H40" s="103"/>
      <c r="I40" s="103"/>
      <c r="J40" s="237">
        <f>SUM(G40:H40)</f>
        <v>1.6800000000000001E-3</v>
      </c>
      <c r="K40" s="104" t="s">
        <v>42</v>
      </c>
      <c r="L40" s="105">
        <f>ROUND(D40*G40,2)</f>
        <v>0</v>
      </c>
      <c r="M40" s="105"/>
      <c r="N40" s="105"/>
      <c r="O40" s="105">
        <f t="shared" si="0"/>
        <v>0</v>
      </c>
      <c r="P40" s="245">
        <f>'Rider Rates'!$D$43</f>
        <v>45078</v>
      </c>
      <c r="AF40" s="226"/>
    </row>
    <row r="41" spans="1:220" x14ac:dyDescent="0.25">
      <c r="A41" s="210" t="s">
        <v>202</v>
      </c>
      <c r="B41" s="78"/>
      <c r="C41" s="78"/>
      <c r="D41" s="297">
        <f>'Customer Info'!$B$21+'Customer Info'!$B$22-'Customer Info'!$B$23</f>
        <v>0</v>
      </c>
      <c r="E41" s="101" t="s">
        <v>41</v>
      </c>
      <c r="F41" s="102" t="s">
        <v>8</v>
      </c>
      <c r="G41" s="103">
        <f>'Rider Rates'!$B$46</f>
        <v>-4.8640000000000001E-4</v>
      </c>
      <c r="H41" s="103"/>
      <c r="I41" s="103"/>
      <c r="J41" s="237">
        <f>SUM(G41:H41)</f>
        <v>-4.8640000000000001E-4</v>
      </c>
      <c r="K41" s="104" t="s">
        <v>42</v>
      </c>
      <c r="L41" s="105">
        <f>ROUND(D41*G41,2)</f>
        <v>0</v>
      </c>
      <c r="M41" s="105"/>
      <c r="N41" s="105"/>
      <c r="O41" s="105">
        <f t="shared" si="0"/>
        <v>0</v>
      </c>
      <c r="P41" s="245">
        <f>'Rider Rates'!$D$46</f>
        <v>45383</v>
      </c>
      <c r="AF41" s="226"/>
    </row>
    <row r="42" spans="1:220" x14ac:dyDescent="0.25">
      <c r="A42" s="241" t="s">
        <v>220</v>
      </c>
      <c r="B42" s="78"/>
      <c r="C42" s="78"/>
      <c r="D42" s="297">
        <f>IF($C$16&lt;0,0,IF($C$16&gt;833000,833000,$C$16))</f>
        <v>0</v>
      </c>
      <c r="E42" s="101" t="s">
        <v>41</v>
      </c>
      <c r="F42" s="102" t="s">
        <v>8</v>
      </c>
      <c r="G42" s="103"/>
      <c r="H42" s="103"/>
      <c r="I42" s="103">
        <f>'Rider Rates'!D50</f>
        <v>1.7826999999999999E-3</v>
      </c>
      <c r="J42" s="103">
        <f>SUM(G42:I42)</f>
        <v>1.7826999999999999E-3</v>
      </c>
      <c r="K42" s="104" t="s">
        <v>42</v>
      </c>
      <c r="L42" s="105"/>
      <c r="M42" s="105"/>
      <c r="N42" s="87">
        <f>D42*J42</f>
        <v>0</v>
      </c>
      <c r="O42" s="105">
        <f t="shared" si="0"/>
        <v>0</v>
      </c>
      <c r="P42" s="245">
        <f>'Rider Rates'!E50</f>
        <v>45292</v>
      </c>
      <c r="AF42" s="226"/>
    </row>
    <row r="43" spans="1:220" x14ac:dyDescent="0.25">
      <c r="A43" s="210" t="s">
        <v>198</v>
      </c>
      <c r="B43" s="78"/>
      <c r="C43" s="78"/>
      <c r="D43" s="297">
        <f>IF($C$16&lt;0,0,$C$16)</f>
        <v>0</v>
      </c>
      <c r="E43" s="113" t="s">
        <v>41</v>
      </c>
      <c r="F43" s="102" t="s">
        <v>8</v>
      </c>
      <c r="G43" s="103"/>
      <c r="H43" s="103">
        <f>'Rider Rates'!$B$60</f>
        <v>5.7019999999999998E-4</v>
      </c>
      <c r="I43" s="103"/>
      <c r="J43" s="103">
        <f>SUM(G43:I43)</f>
        <v>5.7019999999999998E-4</v>
      </c>
      <c r="K43" s="104" t="s">
        <v>42</v>
      </c>
      <c r="L43" s="105"/>
      <c r="M43" s="105">
        <f>ROUND(D43*H43,2)</f>
        <v>0</v>
      </c>
      <c r="N43" s="205"/>
      <c r="O43" s="105">
        <f t="shared" si="0"/>
        <v>0</v>
      </c>
      <c r="P43" s="245">
        <f>'Rider Rates'!$D$60</f>
        <v>45383</v>
      </c>
      <c r="AF43" s="226"/>
    </row>
    <row r="44" spans="1:220" x14ac:dyDescent="0.25">
      <c r="A44" s="210" t="s">
        <v>198</v>
      </c>
      <c r="B44" s="78"/>
      <c r="C44" s="78"/>
      <c r="D44" s="295">
        <f>D27</f>
        <v>0</v>
      </c>
      <c r="E44" s="35" t="s">
        <v>63</v>
      </c>
      <c r="F44" s="4" t="s">
        <v>8</v>
      </c>
      <c r="G44" s="103"/>
      <c r="H44" s="239">
        <f>'Rider Rates'!$B$65</f>
        <v>7.45</v>
      </c>
      <c r="I44" s="103"/>
      <c r="J44" s="239">
        <f>SUM(G44:I44)</f>
        <v>7.45</v>
      </c>
      <c r="K44" s="104" t="s">
        <v>44</v>
      </c>
      <c r="L44" s="105"/>
      <c r="M44" s="105">
        <f>ROUND(D44*H44,2)</f>
        <v>0</v>
      </c>
      <c r="N44" s="205"/>
      <c r="O44" s="105">
        <f t="shared" si="0"/>
        <v>0</v>
      </c>
      <c r="P44" s="245">
        <f>'Rider Rates'!$D$65</f>
        <v>45383</v>
      </c>
      <c r="AF44" s="296"/>
    </row>
    <row r="45" spans="1:220" x14ac:dyDescent="0.25">
      <c r="A45" s="99" t="s">
        <v>82</v>
      </c>
      <c r="B45" s="78"/>
      <c r="C45" s="78"/>
      <c r="D45" s="297">
        <f>IF('Customer Info'!C34=TRUE,0,IF($C$16&lt;0,0,$C$16))</f>
        <v>0</v>
      </c>
      <c r="E45" s="101" t="s">
        <v>41</v>
      </c>
      <c r="F45" s="102" t="s">
        <v>8</v>
      </c>
      <c r="G45" s="103"/>
      <c r="H45" s="103"/>
      <c r="I45" s="103">
        <f>'Rider Rates'!$B$70+'Rider Rates'!$C$70</f>
        <v>0</v>
      </c>
      <c r="J45" s="103">
        <f>SUM(G45:I45)</f>
        <v>0</v>
      </c>
      <c r="K45" s="104" t="s">
        <v>42</v>
      </c>
      <c r="L45" s="105"/>
      <c r="M45" s="105"/>
      <c r="N45" s="87">
        <f>ROUND($D$45*'Rider Rates'!$B$70,2)+ROUND($D$45*'Rider Rates'!$C$70,2)</f>
        <v>0</v>
      </c>
      <c r="O45" s="209">
        <f t="shared" ref="O45:O52" si="1">SUM(L45:N45)</f>
        <v>0</v>
      </c>
      <c r="P45" s="245">
        <f>'Rider Rates'!$D$70</f>
        <v>44531</v>
      </c>
      <c r="Q45" s="107"/>
      <c r="R45" s="108"/>
      <c r="S45" s="109"/>
      <c r="T45" s="78"/>
      <c r="U45" s="110"/>
      <c r="V45" s="78"/>
      <c r="W45" s="78"/>
      <c r="X45" s="78"/>
      <c r="Y45" s="78"/>
      <c r="Z45" s="78"/>
      <c r="AA45" s="78"/>
      <c r="AB45" s="78"/>
      <c r="AC45" s="78"/>
      <c r="AD45" s="78"/>
      <c r="AE45" s="78"/>
      <c r="AF45" s="2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0" x14ac:dyDescent="0.25">
      <c r="A46" s="99" t="s">
        <v>82</v>
      </c>
      <c r="B46" s="78"/>
      <c r="C46" s="78"/>
      <c r="D46" s="296">
        <f>IF('Customer Info'!C34=TRUE,0,$D$27)</f>
        <v>0</v>
      </c>
      <c r="E46" s="101" t="s">
        <v>45</v>
      </c>
      <c r="F46" s="102" t="s">
        <v>8</v>
      </c>
      <c r="G46" s="103"/>
      <c r="H46" s="103"/>
      <c r="I46" s="239">
        <f>'Rider Rates'!$B$80</f>
        <v>0</v>
      </c>
      <c r="J46" s="239">
        <f>SUM(G46:I46)</f>
        <v>0</v>
      </c>
      <c r="K46" s="104" t="s">
        <v>42</v>
      </c>
      <c r="L46" s="105"/>
      <c r="M46" s="105"/>
      <c r="N46" s="87">
        <f>ROUND($D46*I46,2)</f>
        <v>0</v>
      </c>
      <c r="O46" s="209">
        <f>SUM(L46:N46)</f>
        <v>0</v>
      </c>
      <c r="P46" s="245">
        <v>44531</v>
      </c>
      <c r="Q46" s="107"/>
      <c r="R46" s="108"/>
      <c r="S46" s="109"/>
      <c r="T46" s="78"/>
      <c r="U46" s="110"/>
      <c r="V46" s="78"/>
      <c r="W46" s="78"/>
      <c r="X46" s="78"/>
      <c r="Y46" s="78"/>
      <c r="Z46" s="78"/>
      <c r="AA46" s="78"/>
      <c r="AB46" s="78"/>
      <c r="AC46" s="78"/>
      <c r="AD46" s="78"/>
      <c r="AE46" s="78"/>
      <c r="AF46" s="296"/>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0" ht="13" x14ac:dyDescent="0.3">
      <c r="A47" s="99" t="s">
        <v>80</v>
      </c>
      <c r="B47" s="78"/>
      <c r="C47" s="78"/>
      <c r="D47" s="298">
        <f>$N$29</f>
        <v>825</v>
      </c>
      <c r="E47" s="101" t="s">
        <v>121</v>
      </c>
      <c r="F47" s="102" t="s">
        <v>8</v>
      </c>
      <c r="G47" s="111"/>
      <c r="H47" s="112"/>
      <c r="I47" s="120">
        <f>'Rider Rates'!$B$84</f>
        <v>2.9347000000000002E-2</v>
      </c>
      <c r="J47" s="120">
        <f>SUM(H47:I47)</f>
        <v>2.9347000000000002E-2</v>
      </c>
      <c r="K47" s="104"/>
      <c r="L47" s="105"/>
      <c r="M47" s="105"/>
      <c r="N47" s="105">
        <f>ROUND(N$29*I47,2)</f>
        <v>24.21</v>
      </c>
      <c r="O47" s="209">
        <f t="shared" si="1"/>
        <v>24.21</v>
      </c>
      <c r="P47" s="245">
        <f>'Rider Rates'!$D$84</f>
        <v>45383</v>
      </c>
      <c r="Q47" s="107"/>
      <c r="R47" s="108"/>
      <c r="S47" s="109"/>
      <c r="T47" s="78"/>
      <c r="U47" s="110"/>
      <c r="V47" s="78"/>
      <c r="W47" s="78"/>
      <c r="X47" s="78"/>
      <c r="Y47" s="78"/>
      <c r="Z47" s="78"/>
      <c r="AA47" s="78"/>
      <c r="AB47" s="78"/>
      <c r="AC47" s="78"/>
      <c r="AD47" s="78"/>
      <c r="AE47" s="78"/>
      <c r="AF47" s="2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row>
    <row r="48" spans="1:220" ht="13" x14ac:dyDescent="0.3">
      <c r="A48" s="99" t="s">
        <v>81</v>
      </c>
      <c r="B48" s="78"/>
      <c r="C48" s="78"/>
      <c r="D48" s="298">
        <f>$N$29</f>
        <v>825</v>
      </c>
      <c r="E48" s="101" t="s">
        <v>121</v>
      </c>
      <c r="F48" s="102" t="s">
        <v>8</v>
      </c>
      <c r="G48" s="114"/>
      <c r="H48" s="115"/>
      <c r="I48" s="120">
        <f>'Rider Rates'!$B$86</f>
        <v>6.6985699999999995E-2</v>
      </c>
      <c r="J48" s="120">
        <f>SUM(H48:I48)</f>
        <v>6.6985699999999995E-2</v>
      </c>
      <c r="K48" s="104"/>
      <c r="L48" s="105"/>
      <c r="M48" s="105"/>
      <c r="N48" s="105">
        <f>ROUND(N$29*I48,2)</f>
        <v>55.26</v>
      </c>
      <c r="O48" s="209">
        <f t="shared" si="1"/>
        <v>55.26</v>
      </c>
      <c r="P48" s="245">
        <f>'Rider Rates'!$D$86</f>
        <v>45167</v>
      </c>
      <c r="Q48" s="107"/>
      <c r="R48" s="108"/>
      <c r="S48" s="109"/>
      <c r="T48" s="78"/>
      <c r="U48" s="110"/>
      <c r="V48" s="78"/>
      <c r="W48" s="78"/>
      <c r="X48" s="78"/>
      <c r="Y48" s="78"/>
      <c r="Z48" s="78"/>
      <c r="AA48" s="78"/>
      <c r="AB48" s="78"/>
      <c r="AC48" s="78"/>
      <c r="AD48" s="78"/>
      <c r="AE48" s="78"/>
      <c r="AF48" s="2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row>
    <row r="49" spans="1:221" ht="13" x14ac:dyDescent="0.3">
      <c r="A49" s="210" t="s">
        <v>216</v>
      </c>
      <c r="B49" s="78"/>
      <c r="C49" s="78"/>
      <c r="D49" s="299"/>
      <c r="E49" s="113" t="s">
        <v>114</v>
      </c>
      <c r="F49" s="106"/>
      <c r="G49" s="114"/>
      <c r="H49" s="115"/>
      <c r="I49" s="196">
        <f>'Rider Rates'!$B$90</f>
        <v>15.91</v>
      </c>
      <c r="J49" s="196">
        <f>SUM(G49:I49)</f>
        <v>15.91</v>
      </c>
      <c r="K49" s="104"/>
      <c r="L49" s="105"/>
      <c r="M49" s="105"/>
      <c r="N49" s="105">
        <f>I49</f>
        <v>15.91</v>
      </c>
      <c r="O49" s="105">
        <f>SUM(L49:N49)</f>
        <v>15.91</v>
      </c>
      <c r="P49" s="245">
        <f>'Rider Rates'!$D$90</f>
        <v>45351</v>
      </c>
      <c r="AF49" s="226"/>
    </row>
    <row r="50" spans="1:221" x14ac:dyDescent="0.25">
      <c r="A50" s="241" t="s">
        <v>263</v>
      </c>
      <c r="B50" s="78"/>
      <c r="C50" s="78"/>
      <c r="D50" s="297">
        <f>$D$33</f>
        <v>0</v>
      </c>
      <c r="E50" s="101" t="s">
        <v>41</v>
      </c>
      <c r="F50" s="102" t="s">
        <v>8</v>
      </c>
      <c r="G50" s="103"/>
      <c r="H50" s="103"/>
      <c r="I50" s="103"/>
      <c r="J50" s="103">
        <f>'Rider Rates'!$B$95</f>
        <v>0</v>
      </c>
      <c r="K50" s="104" t="s">
        <v>42</v>
      </c>
      <c r="L50" s="105"/>
      <c r="M50" s="105"/>
      <c r="N50" s="87"/>
      <c r="O50" s="105">
        <f>ROUND($D50*('Rider Rates'!B$95),2)</f>
        <v>0</v>
      </c>
      <c r="P50" s="245">
        <f>'Rider Rates'!$D$95</f>
        <v>44531</v>
      </c>
      <c r="Q50" s="106"/>
      <c r="R50" s="107"/>
      <c r="S50" s="108"/>
      <c r="T50" s="109"/>
      <c r="U50" s="78"/>
      <c r="V50" s="110"/>
      <c r="W50" s="78"/>
      <c r="X50" s="78"/>
      <c r="Y50" s="78"/>
      <c r="Z50" s="78"/>
      <c r="AA50" s="78"/>
      <c r="AB50" s="78"/>
      <c r="AC50" s="78"/>
      <c r="AD50" s="78"/>
      <c r="AE50" s="78"/>
      <c r="AF50" s="2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241" t="s">
        <v>264</v>
      </c>
      <c r="B51" s="78"/>
      <c r="C51" s="78"/>
      <c r="D51" s="1">
        <f>$D$34</f>
        <v>0</v>
      </c>
      <c r="E51" s="101" t="s">
        <v>41</v>
      </c>
      <c r="F51" s="102" t="s">
        <v>8</v>
      </c>
      <c r="G51" s="103"/>
      <c r="H51" s="103"/>
      <c r="I51" s="103"/>
      <c r="J51" s="103">
        <f>'Rider Rates'!$B$96</f>
        <v>0</v>
      </c>
      <c r="K51" s="104" t="s">
        <v>42</v>
      </c>
      <c r="L51" s="105"/>
      <c r="M51" s="105"/>
      <c r="N51" s="87"/>
      <c r="O51" s="105">
        <f>ROUND($D51*('Rider Rates'!B$96),2)</f>
        <v>0</v>
      </c>
      <c r="P51" s="245">
        <f>'Rider Rates'!$D$96</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ht="13" x14ac:dyDescent="0.3">
      <c r="A52" s="99" t="s">
        <v>157</v>
      </c>
      <c r="B52" s="78"/>
      <c r="C52" s="78"/>
      <c r="D52" s="208">
        <f>$N$29</f>
        <v>825</v>
      </c>
      <c r="E52" s="101" t="s">
        <v>121</v>
      </c>
      <c r="F52" s="102" t="s">
        <v>8</v>
      </c>
      <c r="G52" s="114"/>
      <c r="H52" s="115"/>
      <c r="I52" s="120">
        <f>'Rider Rates'!$B$104</f>
        <v>0.21398439999999999</v>
      </c>
      <c r="J52" s="120">
        <f>SUM(H52:I52)</f>
        <v>0.21398439999999999</v>
      </c>
      <c r="K52" s="104"/>
      <c r="L52" s="105"/>
      <c r="M52" s="105"/>
      <c r="N52" s="105">
        <f>ROUND(N$29*I52,2)</f>
        <v>176.54</v>
      </c>
      <c r="O52" s="105">
        <f t="shared" si="1"/>
        <v>176.54</v>
      </c>
      <c r="P52" s="245">
        <f>'Rider Rates'!$D$104</f>
        <v>45351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ht="13" x14ac:dyDescent="0.3">
      <c r="A53" s="210" t="s">
        <v>219</v>
      </c>
      <c r="B53" s="78"/>
      <c r="C53" s="78"/>
      <c r="D53" s="195"/>
      <c r="E53" s="113" t="s">
        <v>114</v>
      </c>
      <c r="F53" s="106"/>
      <c r="G53" s="114"/>
      <c r="H53" s="115"/>
      <c r="I53" s="196">
        <f>'Rider Rates'!$B$108</f>
        <v>0</v>
      </c>
      <c r="J53" s="196">
        <f>SUM(G53:I53)</f>
        <v>0</v>
      </c>
      <c r="K53" s="104"/>
      <c r="L53" s="105"/>
      <c r="M53" s="105"/>
      <c r="N53" s="105">
        <f>I53</f>
        <v>0</v>
      </c>
      <c r="O53" s="105">
        <f t="shared" ref="O53:O58" si="2">SUM(L53:N53)</f>
        <v>0</v>
      </c>
      <c r="P53" s="245">
        <f>'Rider Rates'!$D$108</f>
        <v>44894</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ht="13" x14ac:dyDescent="0.3">
      <c r="A54" s="210" t="s">
        <v>227</v>
      </c>
      <c r="B54" s="78"/>
      <c r="C54" s="78"/>
      <c r="D54" s="195"/>
      <c r="E54" s="113" t="s">
        <v>114</v>
      </c>
      <c r="F54" s="106"/>
      <c r="G54" s="114"/>
      <c r="H54" s="115"/>
      <c r="I54" s="260">
        <f>'Rider Rates'!B121</f>
        <v>5.83</v>
      </c>
      <c r="J54" s="196">
        <f>SUM(G54:I54)</f>
        <v>5.83</v>
      </c>
      <c r="K54" s="104"/>
      <c r="L54" s="105"/>
      <c r="M54" s="105"/>
      <c r="N54" s="262">
        <f>I54</f>
        <v>5.83</v>
      </c>
      <c r="O54" s="105">
        <f t="shared" si="2"/>
        <v>5.83</v>
      </c>
      <c r="P54" s="245">
        <f>'Rider Rates'!D121</f>
        <v>45226</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99" t="s">
        <v>158</v>
      </c>
      <c r="B55" s="78"/>
      <c r="C55" s="78"/>
      <c r="D55" s="100">
        <f>IF('Customer Info'!$C$32=TRUE,0,'Customer Info'!$B$21+'Customer Info'!$B$22-'Customer Info'!$B$23)</f>
        <v>0</v>
      </c>
      <c r="E55" s="101" t="s">
        <v>41</v>
      </c>
      <c r="F55" s="102" t="s">
        <v>8</v>
      </c>
      <c r="G55" s="103">
        <f>'Rider Rates'!$B$113</f>
        <v>3.6865999999999999E-3</v>
      </c>
      <c r="H55" s="103"/>
      <c r="I55" s="120"/>
      <c r="J55" s="237">
        <f>SUM(G55:H55)</f>
        <v>3.6865999999999999E-3</v>
      </c>
      <c r="K55" s="104" t="s">
        <v>42</v>
      </c>
      <c r="L55" s="105">
        <f>ROUND(D55*G55,2)</f>
        <v>0</v>
      </c>
      <c r="M55" s="105"/>
      <c r="N55" s="105"/>
      <c r="O55" s="105">
        <f t="shared" si="2"/>
        <v>0</v>
      </c>
      <c r="P55" s="245">
        <f>'Rider Rates'!$D$113</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5">
      <c r="A56" s="210" t="s">
        <v>218</v>
      </c>
      <c r="B56" s="78"/>
      <c r="C56" s="78"/>
      <c r="D56" s="1">
        <f>IF($C$16&lt;1,0,$C$16)</f>
        <v>0</v>
      </c>
      <c r="E56" s="101" t="s">
        <v>41</v>
      </c>
      <c r="F56" s="249" t="s">
        <v>8</v>
      </c>
      <c r="G56" s="165"/>
      <c r="H56" s="165"/>
      <c r="I56" s="251">
        <f>'Rider Rates'!B117</f>
        <v>-6.2E-4</v>
      </c>
      <c r="J56" s="251">
        <f>SUM(G56:I56)</f>
        <v>-6.2E-4</v>
      </c>
      <c r="K56" s="104" t="s">
        <v>42</v>
      </c>
      <c r="L56" s="105"/>
      <c r="M56" s="105"/>
      <c r="N56" s="105">
        <f>D56*I56</f>
        <v>0</v>
      </c>
      <c r="O56" s="105">
        <f t="shared" si="2"/>
        <v>0</v>
      </c>
      <c r="P56" s="245">
        <f>'Rider Rates'!D117</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5">
      <c r="A57" s="78" t="s">
        <v>243</v>
      </c>
      <c r="B57" s="78"/>
      <c r="C57" s="78"/>
      <c r="D57" s="100">
        <f>IF(C16&lt;0,0,IF(C16&gt;833000,833000,C16))</f>
        <v>0</v>
      </c>
      <c r="E57" s="101" t="s">
        <v>41</v>
      </c>
      <c r="F57" s="102" t="s">
        <v>8</v>
      </c>
      <c r="G57" s="267"/>
      <c r="H57" s="267"/>
      <c r="I57" s="267">
        <f>'Rider Rates'!$B$125</f>
        <v>2.9050000000000001E-4</v>
      </c>
      <c r="J57" s="267">
        <f>SUM(G57:I57)</f>
        <v>2.9050000000000001E-4</v>
      </c>
      <c r="K57" s="104" t="s">
        <v>42</v>
      </c>
      <c r="L57" s="268"/>
      <c r="M57" s="268"/>
      <c r="N57" s="268">
        <f>IF(D57*J57&gt;'Rider Rates'!$C$125,'Rider Rates'!$C$125,D57*J57)</f>
        <v>0</v>
      </c>
      <c r="O57" s="268">
        <f t="shared" si="2"/>
        <v>0</v>
      </c>
      <c r="P57" s="266">
        <f>'Rider Rates'!$E$125</f>
        <v>45292</v>
      </c>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5">
      <c r="A58" s="78" t="s">
        <v>244</v>
      </c>
      <c r="B58" s="78"/>
      <c r="C58" s="78"/>
      <c r="D58" s="123">
        <f>IF(C16&gt;833000,C16-833000,0)</f>
        <v>0</v>
      </c>
      <c r="E58" s="101" t="s">
        <v>41</v>
      </c>
      <c r="F58" s="102" t="s">
        <v>8</v>
      </c>
      <c r="G58" s="267"/>
      <c r="H58" s="267"/>
      <c r="I58" s="267">
        <f>'Rider Rates'!$B$126</f>
        <v>0</v>
      </c>
      <c r="J58" s="267">
        <f>SUM(G58:I58)</f>
        <v>0</v>
      </c>
      <c r="K58" s="104" t="s">
        <v>42</v>
      </c>
      <c r="L58" s="268"/>
      <c r="M58" s="268"/>
      <c r="N58" s="268">
        <f>D58*J58</f>
        <v>0</v>
      </c>
      <c r="O58" s="268">
        <f t="shared" si="2"/>
        <v>0</v>
      </c>
      <c r="P58" s="266">
        <f>'Rider Rates'!$E$126</f>
        <v>44927</v>
      </c>
      <c r="Q58" s="106"/>
      <c r="R58" s="107"/>
      <c r="S58" s="108"/>
      <c r="T58" s="109"/>
      <c r="U58" s="78"/>
      <c r="V58" s="110"/>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5">
      <c r="A59" s="241" t="s">
        <v>252</v>
      </c>
      <c r="B59" s="78"/>
      <c r="C59" s="78"/>
      <c r="D59" s="100">
        <f>D16</f>
        <v>0</v>
      </c>
      <c r="E59" s="101" t="s">
        <v>41</v>
      </c>
      <c r="F59" s="249" t="s">
        <v>8</v>
      </c>
      <c r="G59" s="103"/>
      <c r="H59" s="103"/>
      <c r="I59" s="103">
        <f>'Rider Rates'!$B$132</f>
        <v>0</v>
      </c>
      <c r="J59" s="237">
        <f>SUM(G59:I59)</f>
        <v>0</v>
      </c>
      <c r="K59" s="104" t="s">
        <v>42</v>
      </c>
      <c r="L59" s="105"/>
      <c r="M59" s="105"/>
      <c r="N59" s="105">
        <f>D59*J59</f>
        <v>0</v>
      </c>
      <c r="O59" s="105">
        <f>SUM(L59:N59)</f>
        <v>0</v>
      </c>
      <c r="P59" s="245">
        <f>'Rider Rates'!$D$130</f>
        <v>44531</v>
      </c>
      <c r="Q59" s="106"/>
      <c r="R59" s="107"/>
      <c r="S59" s="108"/>
      <c r="T59" s="109"/>
      <c r="U59" s="78"/>
      <c r="V59" s="110"/>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5">
      <c r="A60" s="241" t="s">
        <v>251</v>
      </c>
      <c r="B60" s="78"/>
      <c r="C60" s="78"/>
      <c r="D60" s="100"/>
      <c r="E60" s="101" t="s">
        <v>114</v>
      </c>
      <c r="F60" s="102" t="s">
        <v>8</v>
      </c>
      <c r="G60" s="265"/>
      <c r="H60" s="265"/>
      <c r="I60" s="265">
        <f>'Rider Rates'!$B$137</f>
        <v>0</v>
      </c>
      <c r="J60" s="265">
        <f>SUM(G60:I60)</f>
        <v>0</v>
      </c>
      <c r="K60" s="104"/>
      <c r="L60" s="209"/>
      <c r="M60" s="209"/>
      <c r="N60" s="209">
        <f>J60</f>
        <v>0</v>
      </c>
      <c r="O60" s="209">
        <f>SUM(L60:N60)</f>
        <v>0</v>
      </c>
      <c r="P60" s="266">
        <f>'Rider Rates'!$D$137</f>
        <v>44531</v>
      </c>
      <c r="Q60" s="106"/>
      <c r="R60" s="107"/>
      <c r="S60" s="108"/>
      <c r="T60" s="109"/>
      <c r="U60" s="78"/>
      <c r="V60" s="110"/>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x14ac:dyDescent="0.25">
      <c r="A61" s="241" t="s">
        <v>253</v>
      </c>
      <c r="B61" s="78"/>
      <c r="C61" s="78"/>
      <c r="D61" s="100"/>
      <c r="E61" s="101"/>
      <c r="F61" s="102"/>
      <c r="G61" s="265"/>
      <c r="H61" s="265"/>
      <c r="I61" s="265"/>
      <c r="J61" s="265"/>
      <c r="K61" s="104"/>
      <c r="L61" s="209"/>
      <c r="M61" s="209"/>
      <c r="N61" s="209"/>
      <c r="O61" s="209"/>
      <c r="P61" s="266"/>
      <c r="Q61" s="106"/>
      <c r="R61" s="107"/>
      <c r="S61" s="108"/>
      <c r="T61" s="109"/>
      <c r="U61" s="78"/>
      <c r="V61" s="110"/>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ht="13" x14ac:dyDescent="0.3">
      <c r="A62" s="179" t="s">
        <v>70</v>
      </c>
      <c r="B62" s="148"/>
      <c r="C62" s="148"/>
      <c r="D62" s="180"/>
      <c r="E62" s="181"/>
      <c r="F62" s="182"/>
      <c r="G62" s="182"/>
      <c r="H62" s="182"/>
      <c r="I62" s="182"/>
      <c r="J62" s="182"/>
      <c r="K62" s="183"/>
      <c r="L62" s="169">
        <f>SUM(L33:L61)</f>
        <v>0</v>
      </c>
      <c r="M62" s="169">
        <f>SUM(M33:M61)</f>
        <v>0</v>
      </c>
      <c r="N62" s="169">
        <f>SUM(N33:N61)</f>
        <v>277.74999999999994</v>
      </c>
      <c r="O62" s="169">
        <f>SUM(O33:O61)</f>
        <v>277.74999999999994</v>
      </c>
      <c r="P62" s="184"/>
    </row>
    <row r="63" spans="1:221" ht="13" x14ac:dyDescent="0.3">
      <c r="A63" s="37"/>
      <c r="D63" s="1"/>
      <c r="E63" s="35"/>
      <c r="F63" s="4"/>
      <c r="G63" s="42"/>
      <c r="H63" s="42"/>
      <c r="I63" s="42"/>
      <c r="J63" s="42"/>
      <c r="K63" s="36"/>
      <c r="L63" s="36"/>
      <c r="M63" s="36"/>
      <c r="N63" s="36"/>
      <c r="O63" s="34"/>
      <c r="P63" s="36"/>
    </row>
    <row r="64" spans="1:221" ht="13" x14ac:dyDescent="0.3">
      <c r="A64" s="81" t="s">
        <v>71</v>
      </c>
      <c r="B64" s="92"/>
      <c r="C64" s="92"/>
      <c r="D64" s="92"/>
      <c r="E64" s="92"/>
      <c r="F64" s="92"/>
      <c r="G64" s="92"/>
      <c r="H64" s="92"/>
      <c r="I64" s="92"/>
      <c r="J64" s="92"/>
      <c r="K64" s="92"/>
      <c r="L64" s="98">
        <f>L29+L62</f>
        <v>0</v>
      </c>
      <c r="M64" s="98">
        <f>M29+M62</f>
        <v>0</v>
      </c>
      <c r="N64" s="98">
        <f>N29+N62</f>
        <v>1102.75</v>
      </c>
      <c r="O64" s="98">
        <f>O29+O62</f>
        <v>1102.75</v>
      </c>
      <c r="P64" s="98"/>
    </row>
    <row r="65" spans="1:16" ht="13" x14ac:dyDescent="0.3">
      <c r="A65" s="37"/>
      <c r="B65" s="37"/>
      <c r="C65" s="37"/>
      <c r="D65" s="37"/>
      <c r="E65" s="37"/>
      <c r="F65" s="37"/>
      <c r="G65" s="37"/>
      <c r="H65" s="37"/>
      <c r="I65" s="37"/>
      <c r="J65" s="37"/>
      <c r="K65" s="37"/>
      <c r="L65" s="37"/>
      <c r="M65" s="37"/>
      <c r="N65" s="37"/>
      <c r="O65" s="40"/>
      <c r="P65" s="40"/>
    </row>
    <row r="66" spans="1:16" ht="13" x14ac:dyDescent="0.3">
      <c r="A66" s="37" t="s">
        <v>37</v>
      </c>
      <c r="B66" s="37"/>
      <c r="C66" s="37"/>
      <c r="D66" s="37"/>
      <c r="E66" s="37"/>
      <c r="F66" s="37"/>
      <c r="G66" s="37"/>
      <c r="H66" s="37"/>
      <c r="I66" s="37"/>
      <c r="J66" s="37"/>
      <c r="K66" s="37"/>
      <c r="L66" s="37"/>
      <c r="M66" s="37"/>
      <c r="N66" s="37"/>
      <c r="O66" s="45">
        <f>O25+O27+O62</f>
        <v>1102.75</v>
      </c>
      <c r="P66" s="245">
        <v>40967</v>
      </c>
    </row>
    <row r="67" spans="1:16" ht="13" x14ac:dyDescent="0.3">
      <c r="A67" s="37"/>
      <c r="B67" s="37"/>
      <c r="C67" s="37"/>
      <c r="D67" s="37"/>
      <c r="E67" s="37"/>
      <c r="F67" s="37"/>
      <c r="G67" s="46"/>
      <c r="H67" s="46"/>
      <c r="I67" s="46"/>
      <c r="J67" s="46"/>
      <c r="K67" s="36"/>
      <c r="L67" s="36"/>
      <c r="M67" s="36"/>
      <c r="N67" s="36"/>
      <c r="O67" s="40"/>
    </row>
    <row r="68" spans="1:16" ht="13" x14ac:dyDescent="0.3">
      <c r="A68" s="41" t="s">
        <v>116</v>
      </c>
      <c r="B68" s="37"/>
      <c r="C68" s="37"/>
      <c r="D68" s="37"/>
      <c r="E68" s="37"/>
      <c r="F68" s="37"/>
      <c r="G68" s="46"/>
      <c r="H68" s="46"/>
      <c r="I68" s="46"/>
      <c r="J68" s="46"/>
      <c r="K68" s="36"/>
      <c r="L68" s="36"/>
      <c r="M68" s="36"/>
      <c r="N68" s="36"/>
      <c r="O68" s="138">
        <f>MAX($O$64,$O$66)</f>
        <v>1102.75</v>
      </c>
    </row>
    <row r="69" spans="1:16" ht="13" x14ac:dyDescent="0.3">
      <c r="A69" s="37"/>
      <c r="B69" s="37"/>
      <c r="C69" s="37"/>
      <c r="D69" s="37"/>
      <c r="E69" s="37"/>
      <c r="F69" s="37"/>
      <c r="G69" s="46"/>
      <c r="H69" s="46"/>
      <c r="I69" s="46"/>
      <c r="J69" s="46"/>
      <c r="K69" s="36"/>
      <c r="L69" s="36"/>
      <c r="M69" s="36"/>
      <c r="N69" s="36"/>
      <c r="O69" s="40"/>
    </row>
    <row r="70" spans="1:16" ht="13" x14ac:dyDescent="0.3">
      <c r="A70" s="37"/>
      <c r="B70" s="37"/>
      <c r="C70" s="37"/>
      <c r="D70" s="37"/>
      <c r="E70" s="37"/>
      <c r="F70" s="37"/>
      <c r="G70" s="96" t="s">
        <v>85</v>
      </c>
      <c r="H70" s="46"/>
      <c r="I70" s="37"/>
      <c r="J70" s="46"/>
      <c r="K70" s="36"/>
      <c r="L70" s="191"/>
      <c r="M70" s="191"/>
      <c r="N70" s="191"/>
      <c r="O70" s="191">
        <f>ROUND(IF($C$16&lt;1,0,$O$68/($C$16*100)*10000),2)</f>
        <v>0</v>
      </c>
      <c r="P70" s="37" t="s">
        <v>86</v>
      </c>
    </row>
    <row r="71" spans="1:16" ht="13" x14ac:dyDescent="0.3">
      <c r="A71" s="37"/>
      <c r="B71" s="37"/>
      <c r="C71" s="37"/>
      <c r="D71" s="37"/>
      <c r="E71" s="37"/>
      <c r="F71" s="37"/>
      <c r="G71" s="242" t="s">
        <v>199</v>
      </c>
      <c r="H71" s="136"/>
      <c r="I71" s="133"/>
      <c r="J71" s="136"/>
      <c r="K71" s="137"/>
      <c r="L71" s="78"/>
      <c r="M71" s="78"/>
      <c r="N71" s="78"/>
      <c r="O71" s="243">
        <f>ROUND(IF($C$16&lt;1,0,(L64)/($C$16*100)*10000),2)</f>
        <v>0</v>
      </c>
      <c r="P71" s="25" t="s">
        <v>86</v>
      </c>
    </row>
    <row r="72" spans="1:16" ht="13" x14ac:dyDescent="0.3">
      <c r="A72" s="37"/>
      <c r="B72" s="37"/>
      <c r="C72" s="37"/>
      <c r="D72" s="37"/>
      <c r="E72" s="37"/>
      <c r="F72" s="37"/>
      <c r="G72" s="96"/>
      <c r="H72" s="46"/>
      <c r="I72" s="96"/>
      <c r="J72" s="46"/>
      <c r="K72" s="36"/>
      <c r="L72" s="36"/>
      <c r="M72" s="36"/>
      <c r="N72" s="36"/>
      <c r="O72" s="130"/>
      <c r="P72" s="37"/>
    </row>
    <row r="73" spans="1:16" ht="20.25" customHeight="1" x14ac:dyDescent="0.4">
      <c r="A73" s="3"/>
      <c r="B73" s="37"/>
      <c r="C73" s="37"/>
      <c r="D73" s="228" t="str">
        <f>IF('Customer Info'!$C$32=TRUE,"Notice: Billing Charge does not include Self Assessed KWH Tax"," ")</f>
        <v xml:space="preserve"> </v>
      </c>
      <c r="E73" s="3"/>
      <c r="F73" s="4"/>
      <c r="G73" s="121"/>
      <c r="H73" s="55"/>
      <c r="I73" s="34"/>
      <c r="J73" s="55"/>
      <c r="K73" s="37"/>
      <c r="L73" s="37"/>
      <c r="M73" s="37"/>
      <c r="N73" s="34"/>
    </row>
    <row r="74" spans="1:16" ht="13" x14ac:dyDescent="0.3">
      <c r="A74" s="37"/>
      <c r="B74" s="37"/>
      <c r="C74" s="37"/>
      <c r="D74" s="54"/>
      <c r="E74" s="3"/>
      <c r="F74" s="4"/>
      <c r="G74" s="55"/>
      <c r="H74" s="55"/>
      <c r="I74" s="93"/>
      <c r="J74" s="55"/>
      <c r="K74" s="37"/>
      <c r="L74" s="37"/>
      <c r="M74" s="37"/>
      <c r="N74" s="37"/>
      <c r="O74" s="40"/>
    </row>
    <row r="75" spans="1:16" ht="13" x14ac:dyDescent="0.3">
      <c r="A75" s="37"/>
      <c r="B75" s="37"/>
      <c r="C75" s="37"/>
      <c r="D75" s="54"/>
      <c r="E75" s="3"/>
      <c r="F75" s="4"/>
      <c r="G75" s="55"/>
      <c r="H75" s="55"/>
      <c r="I75" s="55"/>
      <c r="J75" s="55"/>
      <c r="K75" s="37"/>
      <c r="L75" s="37"/>
      <c r="M75" s="37"/>
      <c r="N75" s="37"/>
      <c r="O75" s="40"/>
    </row>
    <row r="76" spans="1:16" ht="13" x14ac:dyDescent="0.3">
      <c r="A76" s="41"/>
      <c r="B76" s="37"/>
      <c r="C76" s="37"/>
      <c r="D76" s="37"/>
      <c r="E76" s="37"/>
      <c r="F76" s="37"/>
      <c r="G76" s="37"/>
      <c r="H76" s="37"/>
      <c r="J76" s="37"/>
      <c r="K76" s="37"/>
      <c r="L76" s="40"/>
      <c r="M76" s="40"/>
      <c r="N76" s="40"/>
      <c r="O76" s="138"/>
    </row>
    <row r="77" spans="1:16" ht="13" x14ac:dyDescent="0.3">
      <c r="B77" s="37"/>
      <c r="C77" s="37"/>
      <c r="D77" s="37"/>
      <c r="E77" s="37"/>
      <c r="F77" s="37"/>
      <c r="G77" s="96"/>
      <c r="H77" s="37"/>
      <c r="I77" s="37"/>
      <c r="J77" s="37"/>
      <c r="K77" s="37"/>
      <c r="L77" s="60"/>
      <c r="M77" s="60"/>
      <c r="N77" s="60"/>
      <c r="O77" s="130"/>
      <c r="P77" s="37"/>
    </row>
    <row r="78" spans="1:16" ht="13" x14ac:dyDescent="0.3">
      <c r="G78" s="133"/>
      <c r="H78" s="56"/>
      <c r="I78" s="133"/>
      <c r="J78" s="56"/>
      <c r="K78" s="56"/>
      <c r="L78" s="134"/>
      <c r="M78" s="134"/>
      <c r="N78" s="134"/>
      <c r="O78" s="135"/>
      <c r="P78" s="25"/>
    </row>
    <row r="80" spans="1:1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row r="89" spans="1:1" x14ac:dyDescent="0.25">
      <c r="A89" s="434"/>
    </row>
    <row r="90" spans="1:1" x14ac:dyDescent="0.25">
      <c r="A90" s="434"/>
    </row>
    <row r="91" spans="1:1" x14ac:dyDescent="0.25">
      <c r="A91" s="434"/>
    </row>
    <row r="92" spans="1:1" x14ac:dyDescent="0.25">
      <c r="A92" s="434"/>
    </row>
    <row r="93" spans="1:1" x14ac:dyDescent="0.25">
      <c r="A93" s="434"/>
    </row>
    <row r="94" spans="1:1" x14ac:dyDescent="0.25">
      <c r="A94" s="434"/>
    </row>
  </sheetData>
  <sheetProtection algorithmName="SHA-512" hashValue="bd2yi0J6LjyJaCWgZYed2+uGCG4Y/5RuEaX/ssDEgP9NpX6J/WI0I6ay+SUlJ1wXQeu8UsMjB8pVwPlfeYFIAw==" saltValue="yYxW3/+xMXWcjx3ho8GwlQ==" spinCount="100000" sheet="1" objects="1" scenarios="1"/>
  <mergeCells count="26">
    <mergeCell ref="A80:A94"/>
    <mergeCell ref="A4:P4"/>
    <mergeCell ref="A7:P7"/>
    <mergeCell ref="A11:I11"/>
    <mergeCell ref="D20:H20"/>
    <mergeCell ref="D21:H21"/>
    <mergeCell ref="G23:J23"/>
    <mergeCell ref="L23:O23"/>
    <mergeCell ref="FU2:GJ2"/>
    <mergeCell ref="GK2:GZ2"/>
    <mergeCell ref="HA2:HP2"/>
    <mergeCell ref="HQ2:IF2"/>
    <mergeCell ref="IG2:IV2"/>
    <mergeCell ref="A3:P3"/>
    <mergeCell ref="CC2:CR2"/>
    <mergeCell ref="CS2:DH2"/>
    <mergeCell ref="DI2:DX2"/>
    <mergeCell ref="DY2:EN2"/>
    <mergeCell ref="EO2:FD2"/>
    <mergeCell ref="FE2:FT2"/>
    <mergeCell ref="A1:P1"/>
    <mergeCell ref="A2:P2"/>
    <mergeCell ref="Q2:AF2"/>
    <mergeCell ref="AG2:AV2"/>
    <mergeCell ref="AW2:BL2"/>
    <mergeCell ref="BM2:CB2"/>
  </mergeCells>
  <printOptions horizontalCentered="1"/>
  <pageMargins left="0.5" right="0.5" top="0.25" bottom="0.25" header="0.25" footer="0.26"/>
  <pageSetup scale="56" orientation="landscape" r:id="rId1"/>
  <headerFooter alignWithMargins="0"/>
  <rowBreaks count="1" manualBreakCount="1">
    <brk id="78"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77826" r:id="rId5" name="Button 2">
              <controlPr defaultSize="0" print="0" autoFill="0" autoPict="0" macro="[0]!Info">
                <anchor moveWithCells="1">
                  <from>
                    <xdr:col>15</xdr:col>
                    <xdr:colOff>279400</xdr:colOff>
                    <xdr:row>88</xdr:row>
                    <xdr:rowOff>50800</xdr:rowOff>
                  </from>
                  <to>
                    <xdr:col>16</xdr:col>
                    <xdr:colOff>31750</xdr:colOff>
                    <xdr:row>89</xdr:row>
                    <xdr:rowOff>88900</xdr:rowOff>
                  </to>
                </anchor>
              </controlPr>
            </control>
          </mc:Choice>
        </mc:AlternateContent>
        <mc:AlternateContent xmlns:mc="http://schemas.openxmlformats.org/markup-compatibility/2006">
          <mc:Choice Requires="x14">
            <control shapeId="77827"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7828"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7829"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7830"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7831"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7832"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7833"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7834"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77835"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7836"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7837"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7838"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77839"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7840"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7841"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7842"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77843"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7844"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7845"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7846"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77847"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7848"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7849"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7850"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77851"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7852"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7853"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7854"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77855"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7856"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7857"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7858"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77859"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7860"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7861"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7862"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77863"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7864"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7865"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7866"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77867"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7868"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7869"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7870"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77871"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7872"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7873"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7874"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77875"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7876"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7877"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7878"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77879"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77880"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77881"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77882"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IB88"/>
  <sheetViews>
    <sheetView showGridLines="0" zoomScale="80" zoomScaleNormal="80" workbookViewId="0">
      <selection activeCell="C9" sqref="C9"/>
    </sheetView>
  </sheetViews>
  <sheetFormatPr defaultRowHeight="12.5" x14ac:dyDescent="0.25"/>
  <cols>
    <col min="1" max="1" width="39" customWidth="1"/>
    <col min="2" max="2" width="2.54296875" customWidth="1"/>
    <col min="3" max="3" width="13.54296875" customWidth="1"/>
    <col min="4" max="4" width="15.26953125" customWidth="1"/>
    <col min="5" max="5" width="9.7265625" customWidth="1"/>
    <col min="6" max="6" width="2.7265625" customWidth="1"/>
    <col min="7" max="8" width="13.26953125" customWidth="1"/>
    <col min="9" max="9" width="14.54296875" customWidth="1"/>
    <col min="10" max="10" width="13.26953125" customWidth="1"/>
    <col min="11" max="11" width="6.54296875" customWidth="1"/>
    <col min="12" max="12" width="15.1796875" customWidth="1"/>
    <col min="13" max="13" width="17.26953125" bestFit="1" customWidth="1"/>
    <col min="14" max="14" width="17.453125" customWidth="1"/>
    <col min="15" max="15" width="17.26953125" bestFit="1" customWidth="1"/>
    <col min="16" max="16" width="13" customWidth="1"/>
    <col min="17" max="17" width="12.81640625" bestFit="1" customWidth="1"/>
    <col min="18" max="18" width="10.54296875" hidden="1" customWidth="1"/>
    <col min="19" max="19" width="10.26953125" hidden="1" customWidth="1"/>
    <col min="20" max="23" width="10.81640625" hidden="1" customWidth="1"/>
    <col min="24" max="26" width="10.26953125" hidden="1" customWidth="1"/>
    <col min="27" max="27" width="10.54296875" hidden="1" customWidth="1"/>
    <col min="28" max="28" width="10.81640625" hidden="1" customWidth="1"/>
    <col min="29" max="30" width="10" hidden="1" customWidth="1"/>
    <col min="31" max="31" width="9.1796875" customWidth="1"/>
    <col min="32" max="32" width="10.26953125" customWidth="1"/>
    <col min="33" max="33" width="10.81640625" customWidth="1"/>
    <col min="34" max="34" width="10.26953125" customWidth="1"/>
  </cols>
  <sheetData>
    <row r="1" spans="1:59" ht="20" x14ac:dyDescent="0.4">
      <c r="A1" s="436" t="s">
        <v>119</v>
      </c>
      <c r="B1" s="436"/>
      <c r="C1" s="436"/>
      <c r="D1" s="436"/>
      <c r="E1" s="436"/>
      <c r="F1" s="436"/>
      <c r="G1" s="436"/>
      <c r="H1" s="436"/>
      <c r="I1" s="436"/>
      <c r="J1" s="436"/>
      <c r="K1" s="436"/>
      <c r="L1" s="436"/>
      <c r="M1" s="436"/>
      <c r="N1" s="436"/>
      <c r="O1" s="436"/>
      <c r="P1" s="436"/>
      <c r="Q1" s="197"/>
    </row>
    <row r="2" spans="1:59" ht="18" customHeight="1" x14ac:dyDescent="0.25">
      <c r="A2" s="445" t="s">
        <v>278</v>
      </c>
      <c r="B2" s="445"/>
      <c r="C2" s="445"/>
      <c r="D2" s="445"/>
      <c r="E2" s="445"/>
      <c r="F2" s="445"/>
      <c r="G2" s="445"/>
      <c r="H2" s="445"/>
      <c r="I2" s="445"/>
      <c r="J2" s="445"/>
      <c r="K2" s="445"/>
      <c r="L2" s="445"/>
      <c r="M2" s="445"/>
      <c r="N2" s="445"/>
      <c r="O2" s="445"/>
      <c r="P2" s="445"/>
    </row>
    <row r="3" spans="1:59" ht="18" x14ac:dyDescent="0.4">
      <c r="A3" s="445"/>
      <c r="B3" s="445"/>
      <c r="C3" s="445"/>
      <c r="D3" s="445"/>
      <c r="E3" s="445"/>
      <c r="F3" s="445"/>
      <c r="G3" s="445"/>
      <c r="H3" s="445"/>
      <c r="I3" s="445"/>
      <c r="J3" s="445"/>
      <c r="K3" s="445"/>
      <c r="L3" s="445"/>
      <c r="M3" s="445"/>
      <c r="N3" s="445"/>
      <c r="O3" s="445"/>
      <c r="P3" s="445"/>
      <c r="Q3" s="198"/>
    </row>
    <row r="4" spans="1:59" ht="15.5" x14ac:dyDescent="0.35">
      <c r="A4" s="437" t="str">
        <f>'Customer Info'!$B$11</f>
        <v>Breakdown of Charges Based on Entered Information</v>
      </c>
      <c r="B4" s="437"/>
      <c r="C4" s="437"/>
      <c r="D4" s="437"/>
      <c r="E4" s="437"/>
      <c r="F4" s="437"/>
      <c r="G4" s="437"/>
      <c r="H4" s="437"/>
      <c r="I4" s="437"/>
      <c r="J4" s="437"/>
      <c r="K4" s="437"/>
      <c r="L4" s="437"/>
      <c r="M4" s="437"/>
      <c r="N4" s="437"/>
      <c r="O4" s="437"/>
      <c r="P4" s="437"/>
      <c r="Q4" s="199"/>
    </row>
    <row r="5" spans="1:59" ht="15.5" x14ac:dyDescent="0.35">
      <c r="A5" s="75"/>
      <c r="B5" s="75"/>
      <c r="C5" s="75"/>
      <c r="D5" s="75"/>
      <c r="E5" s="75"/>
      <c r="F5" s="75"/>
      <c r="G5" s="75"/>
      <c r="H5" s="75"/>
      <c r="I5" s="75"/>
      <c r="J5" s="75"/>
      <c r="K5" s="75"/>
      <c r="L5" s="75"/>
      <c r="M5" s="75"/>
      <c r="N5" s="75"/>
      <c r="O5" s="75"/>
      <c r="P5" s="75"/>
      <c r="Q5" s="75"/>
    </row>
    <row r="6" spans="1:59" x14ac:dyDescent="0.25">
      <c r="A6" s="76">
        <f ca="1">TODAY()</f>
        <v>45378</v>
      </c>
      <c r="B6" s="444" t="s">
        <v>277</v>
      </c>
      <c r="C6" s="444"/>
      <c r="D6" s="444"/>
      <c r="E6" s="444"/>
      <c r="F6" s="444"/>
      <c r="G6" s="444"/>
      <c r="H6" s="444"/>
      <c r="I6" s="444"/>
      <c r="J6" s="444"/>
      <c r="K6" s="444"/>
      <c r="L6" s="444"/>
      <c r="M6" s="444"/>
      <c r="N6" s="444"/>
      <c r="O6" s="444"/>
    </row>
    <row r="7" spans="1:59" x14ac:dyDescent="0.25">
      <c r="A7" s="435" t="s">
        <v>15</v>
      </c>
      <c r="B7" s="435"/>
      <c r="C7" s="435"/>
      <c r="D7" s="435"/>
      <c r="E7" s="435"/>
      <c r="F7" s="435"/>
      <c r="G7" s="435"/>
      <c r="H7" s="435"/>
      <c r="I7" s="435"/>
      <c r="J7" s="435"/>
      <c r="K7" s="435"/>
    </row>
    <row r="8" spans="1:59" x14ac:dyDescent="0.25">
      <c r="C8" s="18"/>
      <c r="D8" s="18"/>
      <c r="E8" s="18"/>
      <c r="F8" s="18"/>
      <c r="G8" s="18"/>
      <c r="H8" s="18"/>
      <c r="I8" s="18"/>
      <c r="J8" s="18"/>
      <c r="K8" s="18"/>
    </row>
    <row r="9" spans="1:59" ht="15.5" x14ac:dyDescent="0.35">
      <c r="A9" s="23" t="s">
        <v>2</v>
      </c>
      <c r="B9" s="24"/>
      <c r="C9" s="25">
        <f>'Customer Info'!B7</f>
        <v>0</v>
      </c>
      <c r="I9" s="26"/>
    </row>
    <row r="10" spans="1:59" ht="15.5" x14ac:dyDescent="0.35">
      <c r="A10" s="27" t="s">
        <v>26</v>
      </c>
      <c r="B10" s="24"/>
      <c r="C10" s="25">
        <f>'Customer Info'!B8</f>
        <v>0</v>
      </c>
    </row>
    <row r="11" spans="1:59" ht="13" x14ac:dyDescent="0.3">
      <c r="A11" s="23" t="s">
        <v>99</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ht="13" x14ac:dyDescent="0.3">
      <c r="A12" s="142"/>
      <c r="B12" s="143"/>
      <c r="C12" s="144"/>
      <c r="D12" s="144"/>
      <c r="E12" s="144"/>
      <c r="F12" s="144"/>
      <c r="G12" s="144"/>
      <c r="H12" s="144"/>
      <c r="I12" s="144"/>
      <c r="J12" s="144"/>
      <c r="K12" s="144"/>
      <c r="L12" s="144"/>
      <c r="M12" s="144"/>
      <c r="N12" s="144"/>
      <c r="O12" s="144"/>
      <c r="P12" s="144"/>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59" ht="15.5" x14ac:dyDescent="0.35">
      <c r="A13" s="148" t="s">
        <v>27</v>
      </c>
      <c r="B13" s="149"/>
      <c r="C13" s="150"/>
      <c r="D13" s="78"/>
      <c r="E13" s="78"/>
      <c r="F13" s="78"/>
      <c r="G13" s="78"/>
      <c r="H13" s="78"/>
      <c r="I13" s="78"/>
      <c r="J13" s="151"/>
      <c r="K13" s="151"/>
      <c r="L13" s="151"/>
      <c r="M13" s="151"/>
      <c r="N13" s="151"/>
      <c r="O13" s="151"/>
      <c r="P13" s="151"/>
      <c r="R13" s="78"/>
      <c r="S13" s="246"/>
      <c r="T13" s="246"/>
      <c r="U13" s="246"/>
      <c r="V13" s="246"/>
      <c r="W13" s="246"/>
      <c r="X13" s="246"/>
      <c r="Y13" s="246"/>
      <c r="Z13" s="246"/>
      <c r="AA13" s="246"/>
      <c r="AB13" s="246"/>
      <c r="AC13" s="246"/>
      <c r="AD13" s="246"/>
      <c r="AE13" s="78"/>
    </row>
    <row r="14" spans="1:59" x14ac:dyDescent="0.25">
      <c r="A14" s="78"/>
      <c r="B14" s="78"/>
      <c r="C14" s="78"/>
      <c r="D14" s="78"/>
      <c r="E14" s="78"/>
      <c r="F14" s="78"/>
      <c r="G14" s="139" t="s">
        <v>15</v>
      </c>
      <c r="H14" s="139"/>
      <c r="I14" s="152" t="s">
        <v>15</v>
      </c>
      <c r="J14" s="151"/>
      <c r="K14" s="151"/>
      <c r="L14" s="151"/>
      <c r="M14" s="151"/>
      <c r="N14" s="151"/>
      <c r="O14" s="151"/>
      <c r="P14" s="151"/>
      <c r="Q14" s="78"/>
      <c r="R14" s="78"/>
      <c r="S14" s="246"/>
      <c r="T14" s="246"/>
      <c r="U14" s="246"/>
      <c r="V14" s="246"/>
      <c r="W14" s="246"/>
      <c r="X14" s="246"/>
      <c r="Y14" s="246"/>
      <c r="Z14" s="246"/>
      <c r="AA14" s="246"/>
      <c r="AB14" s="246"/>
      <c r="AC14" s="246"/>
      <c r="AD14" s="246"/>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5">
      <c r="A15" s="78"/>
      <c r="B15" s="78"/>
      <c r="C15" s="78"/>
      <c r="D15" s="78"/>
      <c r="E15" s="78"/>
      <c r="F15" s="78"/>
      <c r="G15" s="78"/>
      <c r="H15" s="78"/>
      <c r="I15" s="78"/>
      <c r="J15" s="151"/>
      <c r="K15" s="151"/>
      <c r="L15" s="151"/>
      <c r="M15" s="151"/>
      <c r="N15" s="151"/>
      <c r="O15" s="151"/>
      <c r="P15" s="151"/>
      <c r="Q15" s="78"/>
      <c r="R15" s="210"/>
      <c r="S15" s="78"/>
      <c r="T15" s="78"/>
      <c r="U15" s="78"/>
      <c r="V15" s="78"/>
      <c r="W15" s="78"/>
      <c r="X15" s="78"/>
      <c r="Y15" s="78"/>
      <c r="Z15" s="78"/>
      <c r="AA15" s="78"/>
      <c r="AB15" s="78"/>
      <c r="AC15" s="78"/>
      <c r="AD15" s="78"/>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5">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5">
      <c r="A17" s="153" t="s">
        <v>51</v>
      </c>
      <c r="B17" s="78"/>
      <c r="D17" s="154">
        <f>IF('Customer Info'!B21+'Customer Info'!B22-'Customer Info'!B23&lt;0,0,'Customer Info'!B21+'Customer Info'!B22-'Customer Info'!B23)</f>
        <v>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5">
      <c r="A18" s="153"/>
      <c r="B18" s="78"/>
      <c r="C18" s="154"/>
      <c r="D18" s="153"/>
      <c r="E18" s="78"/>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5">
      <c r="A19" s="153"/>
      <c r="B19" s="78"/>
      <c r="C19" s="154"/>
      <c r="D19" s="153"/>
      <c r="E19" s="78"/>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5">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5">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ht="13" x14ac:dyDescent="0.3">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31</v>
      </c>
      <c r="B23" s="78"/>
      <c r="C23" s="78"/>
      <c r="D23" s="78"/>
      <c r="E23" s="78"/>
      <c r="F23" s="78"/>
      <c r="G23" s="441" t="s">
        <v>67</v>
      </c>
      <c r="H23" s="442"/>
      <c r="I23" s="442"/>
      <c r="J23" s="443"/>
      <c r="K23" s="159"/>
      <c r="L23" s="438" t="s">
        <v>68</v>
      </c>
      <c r="M23" s="439"/>
      <c r="N23" s="439"/>
      <c r="O23" s="440"/>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ht="13" x14ac:dyDescent="0.3">
      <c r="A24" s="78"/>
      <c r="B24" s="78"/>
      <c r="C24" s="78"/>
      <c r="D24" s="78"/>
      <c r="E24" s="78"/>
      <c r="F24" s="78"/>
      <c r="G24" s="115" t="s">
        <v>64</v>
      </c>
      <c r="H24" s="115" t="s">
        <v>65</v>
      </c>
      <c r="I24" s="115" t="s">
        <v>66</v>
      </c>
      <c r="J24" s="115" t="s">
        <v>34</v>
      </c>
      <c r="K24" s="78"/>
      <c r="L24" s="146" t="s">
        <v>64</v>
      </c>
      <c r="M24" s="146" t="s">
        <v>65</v>
      </c>
      <c r="N24" s="146" t="s">
        <v>66</v>
      </c>
      <c r="O24" s="146" t="s">
        <v>34</v>
      </c>
      <c r="P24" s="161" t="s">
        <v>56</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5">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5">
      <c r="A26" s="78" t="s">
        <v>186</v>
      </c>
      <c r="B26" s="78"/>
      <c r="C26" s="78"/>
      <c r="D26" s="1">
        <f>MAX($D$17,0)</f>
        <v>0</v>
      </c>
      <c r="E26" s="101" t="s">
        <v>41</v>
      </c>
      <c r="F26" s="106" t="s">
        <v>8</v>
      </c>
      <c r="G26" s="247"/>
      <c r="H26" s="163"/>
      <c r="I26" s="165">
        <v>2.6312499999999999E-2</v>
      </c>
      <c r="J26" s="103">
        <f>SUM(G26:I26)</f>
        <v>2.6312499999999999E-2</v>
      </c>
      <c r="K26" s="108" t="s">
        <v>91</v>
      </c>
      <c r="L26" s="105"/>
      <c r="M26" s="105"/>
      <c r="N26" s="105">
        <f>ROUND($D26*I26,2)</f>
        <v>0</v>
      </c>
      <c r="O26" s="250">
        <f>SUM(L26:N26)</f>
        <v>0</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ht="13" x14ac:dyDescent="0.3">
      <c r="A27" s="166" t="s">
        <v>50</v>
      </c>
      <c r="B27" s="166"/>
      <c r="C27" s="166"/>
      <c r="D27" s="167"/>
      <c r="E27" s="167"/>
      <c r="F27" s="166"/>
      <c r="G27" s="167"/>
      <c r="H27" s="167"/>
      <c r="I27" s="167"/>
      <c r="J27" s="167"/>
      <c r="K27" s="168"/>
      <c r="L27" s="169"/>
      <c r="M27" s="169"/>
      <c r="N27" s="169">
        <f>SUM(N25:N26)</f>
        <v>10</v>
      </c>
      <c r="O27" s="169">
        <f>SUM(O25:O26)</f>
        <v>10</v>
      </c>
      <c r="P27" s="160"/>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ht="13" x14ac:dyDescent="0.3">
      <c r="A28" s="170"/>
      <c r="B28" s="170"/>
      <c r="C28" s="170"/>
      <c r="D28" s="171"/>
      <c r="E28" s="171"/>
      <c r="F28" s="170"/>
      <c r="G28" s="171"/>
      <c r="H28" s="171"/>
      <c r="I28" s="171"/>
      <c r="J28" s="171"/>
      <c r="K28" s="172"/>
      <c r="L28" s="171"/>
      <c r="M28" s="171"/>
      <c r="N28" s="171"/>
      <c r="O28" s="171"/>
      <c r="P28" s="173"/>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ht="13" x14ac:dyDescent="0.3">
      <c r="A29" s="148" t="s">
        <v>69</v>
      </c>
      <c r="B29" s="166"/>
      <c r="C29" s="166"/>
      <c r="D29" s="167"/>
      <c r="E29" s="167"/>
      <c r="F29" s="166"/>
      <c r="G29" s="167"/>
      <c r="H29" s="167"/>
      <c r="I29" s="167"/>
      <c r="J29" s="167"/>
      <c r="K29" s="167"/>
      <c r="L29" s="167"/>
      <c r="M29" s="167"/>
      <c r="N29" s="167"/>
      <c r="O29" s="167"/>
      <c r="P29" s="160"/>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151"/>
      <c r="B30" s="151"/>
      <c r="C30" s="151"/>
      <c r="D30" s="151"/>
      <c r="E30" s="151"/>
      <c r="F30" s="151"/>
      <c r="G30" s="151"/>
      <c r="H30" s="151"/>
      <c r="I30" s="151"/>
      <c r="J30" s="151"/>
      <c r="K30" s="151"/>
      <c r="L30" s="151"/>
      <c r="M30" s="151"/>
      <c r="N30" s="151"/>
      <c r="O30" s="151"/>
      <c r="P30" s="174"/>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78</v>
      </c>
      <c r="B31" s="176"/>
      <c r="C31" s="176"/>
      <c r="D31" s="100">
        <f>IF($D$17&lt;0,0,IF($D$17&gt;833000,833000,$D$17))</f>
        <v>0</v>
      </c>
      <c r="E31" s="101" t="s">
        <v>41</v>
      </c>
      <c r="F31" s="102" t="s">
        <v>8</v>
      </c>
      <c r="G31" s="103"/>
      <c r="H31" s="103"/>
      <c r="I31" s="103">
        <f>'Rider Rates'!$B$4</f>
        <v>5.9216E-3</v>
      </c>
      <c r="J31" s="103">
        <f t="shared" ref="J31:J45" si="0">SUM(G31:I31)</f>
        <v>5.9216E-3</v>
      </c>
      <c r="K31" s="104" t="s">
        <v>42</v>
      </c>
      <c r="L31" s="105"/>
      <c r="M31" s="105"/>
      <c r="N31" s="105">
        <f t="shared" ref="N31:N37" si="1">ROUND(D31*I31,2)</f>
        <v>0</v>
      </c>
      <c r="O31" s="250">
        <f t="shared" ref="O31:O48" si="2">SUM(L31:N31)</f>
        <v>0</v>
      </c>
      <c r="P31" s="245">
        <f>'Rider Rates'!$D$4</f>
        <v>45293</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99" t="s">
        <v>79</v>
      </c>
      <c r="B32" s="78"/>
      <c r="C32" s="78"/>
      <c r="D32" s="123">
        <f>IF($D$17&gt;833000,$D$17-833000,0)</f>
        <v>0</v>
      </c>
      <c r="E32" s="101" t="s">
        <v>41</v>
      </c>
      <c r="F32" s="102" t="s">
        <v>8</v>
      </c>
      <c r="G32" s="103"/>
      <c r="H32" s="103"/>
      <c r="I32" s="103">
        <f>'Rider Rates'!$B$5</f>
        <v>1.7560000000000001E-4</v>
      </c>
      <c r="J32" s="103">
        <f t="shared" si="0"/>
        <v>1.7560000000000001E-4</v>
      </c>
      <c r="K32" s="104" t="s">
        <v>42</v>
      </c>
      <c r="L32" s="105"/>
      <c r="M32" s="105"/>
      <c r="N32" s="105">
        <f t="shared" si="1"/>
        <v>0</v>
      </c>
      <c r="O32" s="105">
        <f t="shared" si="2"/>
        <v>0</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99" t="s">
        <v>96</v>
      </c>
      <c r="B33" s="78"/>
      <c r="C33" s="78"/>
      <c r="D33" s="100">
        <f>IF($D$17&lt;0,0,IF($D$17&gt;2000,2000,$D$17))</f>
        <v>0</v>
      </c>
      <c r="E33" s="101" t="s">
        <v>41</v>
      </c>
      <c r="F33" s="102" t="s">
        <v>8</v>
      </c>
      <c r="G33" s="103"/>
      <c r="H33" s="103"/>
      <c r="I33" s="177">
        <f>'Rider Rates'!$B$8</f>
        <v>4.6499999999999996E-3</v>
      </c>
      <c r="J33" s="177">
        <f t="shared" si="0"/>
        <v>4.6499999999999996E-3</v>
      </c>
      <c r="K33" s="104" t="s">
        <v>42</v>
      </c>
      <c r="L33" s="105"/>
      <c r="M33" s="105"/>
      <c r="N33" s="105">
        <f t="shared" si="1"/>
        <v>0</v>
      </c>
      <c r="O33" s="105">
        <f t="shared" si="2"/>
        <v>0</v>
      </c>
      <c r="P33" s="245">
        <f>'Rider Rates'!$D$7</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99" t="s">
        <v>97</v>
      </c>
      <c r="B34" s="78"/>
      <c r="C34" s="78"/>
      <c r="D34" s="100">
        <f>IF($D$17&lt;=2000,0,IF($D$17=0,0,IF($D$17-2000&gt;13000,13000,$D$17-2000)))</f>
        <v>0</v>
      </c>
      <c r="E34" s="101" t="s">
        <v>41</v>
      </c>
      <c r="F34" s="102" t="s">
        <v>8</v>
      </c>
      <c r="G34" s="103"/>
      <c r="H34" s="103"/>
      <c r="I34" s="177">
        <f>'Rider Rates'!$B$9</f>
        <v>4.1900000000000001E-3</v>
      </c>
      <c r="J34" s="177">
        <f t="shared" si="0"/>
        <v>4.1900000000000001E-3</v>
      </c>
      <c r="K34" s="104" t="s">
        <v>42</v>
      </c>
      <c r="L34" s="105"/>
      <c r="M34" s="105"/>
      <c r="N34" s="105">
        <f t="shared" si="1"/>
        <v>0</v>
      </c>
      <c r="O34" s="105">
        <f t="shared" si="2"/>
        <v>0</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99" t="s">
        <v>98</v>
      </c>
      <c r="B35" s="78"/>
      <c r="C35" s="78"/>
      <c r="D35" s="100">
        <f>IF($D$17=0,0,IF($D$17-15000&gt;=0,$D$17-15000,0))</f>
        <v>0</v>
      </c>
      <c r="E35" s="101" t="s">
        <v>41</v>
      </c>
      <c r="F35" s="102" t="s">
        <v>8</v>
      </c>
      <c r="G35" s="103"/>
      <c r="H35" s="103"/>
      <c r="I35" s="177">
        <f>'Rider Rates'!$B$10</f>
        <v>3.63E-3</v>
      </c>
      <c r="J35" s="177">
        <f t="shared" si="0"/>
        <v>3.63E-3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ht="13" x14ac:dyDescent="0.3">
      <c r="A36" s="99" t="s">
        <v>113</v>
      </c>
      <c r="B36" s="78"/>
      <c r="C36" s="78"/>
      <c r="D36" s="195">
        <f>$N$27</f>
        <v>10</v>
      </c>
      <c r="E36" s="101" t="s">
        <v>121</v>
      </c>
      <c r="F36" s="102" t="s">
        <v>8</v>
      </c>
      <c r="G36" s="103"/>
      <c r="H36" s="103"/>
      <c r="I36" s="178">
        <f>'Rider Rates'!$B$12</f>
        <v>0</v>
      </c>
      <c r="J36" s="178">
        <f t="shared" si="0"/>
        <v>0</v>
      </c>
      <c r="K36" s="104"/>
      <c r="L36" s="105"/>
      <c r="M36" s="105"/>
      <c r="N36" s="105">
        <f t="shared" si="1"/>
        <v>0</v>
      </c>
      <c r="O36" s="105">
        <f t="shared" si="2"/>
        <v>0</v>
      </c>
      <c r="P36" s="245">
        <f>'Rider Rates'!$D$12</f>
        <v>44531</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10" t="s">
        <v>160</v>
      </c>
      <c r="B37" s="78"/>
      <c r="C37" s="78"/>
      <c r="D37" s="100">
        <f>IF($D$17&lt;0,0,$D$17)</f>
        <v>0</v>
      </c>
      <c r="E37" s="101" t="s">
        <v>41</v>
      </c>
      <c r="F37" s="102" t="s">
        <v>8</v>
      </c>
      <c r="G37" s="103"/>
      <c r="H37" s="103"/>
      <c r="I37" s="103">
        <f>'Rider Rates'!B15</f>
        <v>0</v>
      </c>
      <c r="J37" s="103">
        <f>SUM(G37:I37)</f>
        <v>0</v>
      </c>
      <c r="K37" s="104" t="s">
        <v>42</v>
      </c>
      <c r="L37" s="105"/>
      <c r="M37" s="105"/>
      <c r="N37" s="105">
        <f t="shared" si="1"/>
        <v>0</v>
      </c>
      <c r="O37" s="105">
        <f t="shared" si="2"/>
        <v>0</v>
      </c>
      <c r="P37" s="245">
        <f>'Rider Rates'!$D$15</f>
        <v>45167</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ht="13" x14ac:dyDescent="0.3">
      <c r="A38" s="241" t="s">
        <v>247</v>
      </c>
      <c r="B38" s="78"/>
      <c r="C38" s="78"/>
      <c r="D38" s="195">
        <f>$N$27</f>
        <v>10</v>
      </c>
      <c r="E38" s="101" t="s">
        <v>121</v>
      </c>
      <c r="F38" s="102" t="s">
        <v>8</v>
      </c>
      <c r="G38" s="103"/>
      <c r="H38" s="103"/>
      <c r="I38" s="178">
        <f>'Rider Rates'!$B$18</f>
        <v>0</v>
      </c>
      <c r="J38" s="178">
        <f>SUM(G38:I38)</f>
        <v>0</v>
      </c>
      <c r="K38" s="104"/>
      <c r="L38" s="105"/>
      <c r="M38" s="105"/>
      <c r="N38" s="105">
        <f>ROUND($D$38*'Rider Rates'!$B$18,2)+ROUND($D$38*'Rider Rates'!$E$18,2)</f>
        <v>0</v>
      </c>
      <c r="O38" s="105">
        <f t="shared" si="2"/>
        <v>0</v>
      </c>
      <c r="P38" s="245">
        <f>MAX('Rider Rates'!$D$18,'Rider Rates'!$F$18)</f>
        <v>44531</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241" t="s">
        <v>220</v>
      </c>
      <c r="B39" s="78"/>
      <c r="C39" s="78"/>
      <c r="D39" s="100"/>
      <c r="E39" s="101" t="s">
        <v>114</v>
      </c>
      <c r="F39" s="102"/>
      <c r="G39" s="103"/>
      <c r="H39" s="103"/>
      <c r="I39" s="103">
        <f>'Rider Rates'!D49</f>
        <v>1.47</v>
      </c>
      <c r="J39" s="237">
        <f>SUM(G39:I39)</f>
        <v>1.47</v>
      </c>
      <c r="K39" s="104"/>
      <c r="L39" s="105"/>
      <c r="M39" s="105"/>
      <c r="N39" s="105">
        <f>J39</f>
        <v>1.47</v>
      </c>
      <c r="O39" s="105">
        <f>SUM(L39:N39)</f>
        <v>1.47</v>
      </c>
      <c r="P39" s="245">
        <f>'Rider Rates'!E49</f>
        <v>45292</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210" t="s">
        <v>198</v>
      </c>
      <c r="B40" s="78"/>
      <c r="C40" s="78"/>
      <c r="D40" s="100">
        <f>IF($D$17&lt;0,0,$D$17)</f>
        <v>0</v>
      </c>
      <c r="E40" s="113" t="s">
        <v>41</v>
      </c>
      <c r="F40" s="102" t="s">
        <v>8</v>
      </c>
      <c r="G40" s="103"/>
      <c r="H40" s="103">
        <f>'Rider Rates'!$B$56</f>
        <v>4.3837099999999997E-2</v>
      </c>
      <c r="I40" s="103"/>
      <c r="J40" s="103">
        <f>SUM(G40:I40)</f>
        <v>4.3837099999999997E-2</v>
      </c>
      <c r="K40" s="104" t="s">
        <v>42</v>
      </c>
      <c r="L40" s="105"/>
      <c r="M40" s="105">
        <f>ROUND(D40*H40,2)</f>
        <v>0</v>
      </c>
      <c r="N40" s="205"/>
      <c r="O40" s="105">
        <f t="shared" si="2"/>
        <v>0</v>
      </c>
      <c r="P40" s="245">
        <f>'Rider Rates'!$D$56</f>
        <v>45383</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99" t="s">
        <v>95</v>
      </c>
      <c r="B41" s="78"/>
      <c r="C41" s="78"/>
      <c r="D41" s="100">
        <f>IF('Customer Info'!C34=TRUE,0,IF($D$17&lt;0,0,$D$17))</f>
        <v>0</v>
      </c>
      <c r="E41" s="101" t="s">
        <v>41</v>
      </c>
      <c r="F41" s="102" t="s">
        <v>8</v>
      </c>
      <c r="G41" s="103"/>
      <c r="H41" s="103"/>
      <c r="I41" s="103">
        <f>'Rider Rates'!$B$68+'Rider Rates'!$C$68</f>
        <v>0</v>
      </c>
      <c r="J41" s="103">
        <f t="shared" si="0"/>
        <v>0</v>
      </c>
      <c r="K41" s="104" t="s">
        <v>42</v>
      </c>
      <c r="L41" s="105"/>
      <c r="M41" s="105"/>
      <c r="N41" s="105">
        <f>ROUND($D$41*'Rider Rates'!$B$68,2)+ROUND($D$41*'Rider Rates'!$C$68,2)</f>
        <v>0</v>
      </c>
      <c r="O41" s="250">
        <f t="shared" si="2"/>
        <v>0</v>
      </c>
      <c r="P41" s="245">
        <f>'Rider Rates'!$D$68</f>
        <v>44531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ht="13" x14ac:dyDescent="0.3">
      <c r="A42" s="99" t="s">
        <v>80</v>
      </c>
      <c r="B42" s="78"/>
      <c r="C42" s="78"/>
      <c r="D42" s="195">
        <f>$N$27</f>
        <v>10</v>
      </c>
      <c r="E42" s="101" t="s">
        <v>121</v>
      </c>
      <c r="F42" s="102" t="s">
        <v>8</v>
      </c>
      <c r="G42" s="111"/>
      <c r="H42" s="112"/>
      <c r="I42" s="120">
        <f>'Rider Rates'!$B$84</f>
        <v>2.9347000000000002E-2</v>
      </c>
      <c r="J42" s="120">
        <f>SUM(G42:I42)</f>
        <v>2.9347000000000002E-2</v>
      </c>
      <c r="K42" s="104"/>
      <c r="L42" s="105"/>
      <c r="M42" s="105"/>
      <c r="N42" s="105">
        <f>ROUND(D42*I42,2)</f>
        <v>0.28999999999999998</v>
      </c>
      <c r="O42" s="105">
        <f t="shared" si="2"/>
        <v>0.28999999999999998</v>
      </c>
      <c r="P42" s="245">
        <f>'Rider Rates'!$D$84</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99" t="s">
        <v>81</v>
      </c>
      <c r="B43" s="78"/>
      <c r="C43" s="78"/>
      <c r="D43" s="195">
        <f>$N$27</f>
        <v>10</v>
      </c>
      <c r="E43" s="101" t="s">
        <v>121</v>
      </c>
      <c r="F43" s="102" t="s">
        <v>8</v>
      </c>
      <c r="G43" s="114"/>
      <c r="H43" s="115"/>
      <c r="I43" s="120">
        <f>'Rider Rates'!$B$86</f>
        <v>6.6985699999999995E-2</v>
      </c>
      <c r="J43" s="120">
        <f t="shared" si="0"/>
        <v>6.6985699999999995E-2</v>
      </c>
      <c r="K43" s="104"/>
      <c r="L43" s="105"/>
      <c r="M43" s="105"/>
      <c r="N43" s="105">
        <f>ROUND(D43*I43,2)</f>
        <v>0.67</v>
      </c>
      <c r="O43" s="105">
        <f t="shared" si="2"/>
        <v>0.67</v>
      </c>
      <c r="P43" s="245">
        <f>'Rider Rates'!$D$86</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216</v>
      </c>
      <c r="B44" s="78"/>
      <c r="C44" s="78"/>
      <c r="D44" s="195"/>
      <c r="E44" s="113" t="s">
        <v>114</v>
      </c>
      <c r="F44" s="106"/>
      <c r="G44" s="114"/>
      <c r="H44" s="115"/>
      <c r="I44" s="196">
        <f>'Rider Rates'!$B$89</f>
        <v>1.95</v>
      </c>
      <c r="J44" s="196">
        <f>SUM(G44:I44)</f>
        <v>1.95</v>
      </c>
      <c r="K44" s="104"/>
      <c r="L44" s="105"/>
      <c r="M44" s="105"/>
      <c r="N44" s="105">
        <f>I44</f>
        <v>1.95</v>
      </c>
      <c r="O44" s="250">
        <f>SUM(L44:N44)</f>
        <v>1.95</v>
      </c>
      <c r="P44" s="245">
        <f>'Rider Rates'!$D$89</f>
        <v>45259</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99" t="s">
        <v>157</v>
      </c>
      <c r="B45" s="78"/>
      <c r="C45" s="78"/>
      <c r="D45" s="195">
        <f>$N$27</f>
        <v>10</v>
      </c>
      <c r="E45" s="101" t="s">
        <v>121</v>
      </c>
      <c r="F45" s="102" t="s">
        <v>8</v>
      </c>
      <c r="G45" s="114"/>
      <c r="H45" s="115"/>
      <c r="I45" s="120">
        <f>'Rider Rates'!$B$104</f>
        <v>0.21398439999999999</v>
      </c>
      <c r="J45" s="238">
        <f t="shared" si="0"/>
        <v>0.21398439999999999</v>
      </c>
      <c r="K45" s="104"/>
      <c r="L45" s="105"/>
      <c r="M45" s="105"/>
      <c r="N45" s="105">
        <f>ROUND(D45*I45,2)</f>
        <v>2.14</v>
      </c>
      <c r="O45" s="105">
        <f t="shared" si="2"/>
        <v>2.14</v>
      </c>
      <c r="P45" s="245">
        <f>'Rider Rates'!$D$104</f>
        <v>45351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210" t="s">
        <v>219</v>
      </c>
      <c r="B46" s="78"/>
      <c r="C46" s="78"/>
      <c r="D46" s="195"/>
      <c r="E46" s="113" t="s">
        <v>114</v>
      </c>
      <c r="F46" s="106"/>
      <c r="G46" s="114"/>
      <c r="H46" s="115"/>
      <c r="I46" s="196">
        <f>'Rider Rates'!$B$107</f>
        <v>0</v>
      </c>
      <c r="J46" s="196">
        <f t="shared" ref="J46:J51" si="3">SUM(G46:I46)</f>
        <v>0</v>
      </c>
      <c r="K46" s="104"/>
      <c r="L46" s="105"/>
      <c r="M46" s="105"/>
      <c r="N46" s="105">
        <f>I46</f>
        <v>0</v>
      </c>
      <c r="O46" s="105">
        <f>SUM(L46:N46)</f>
        <v>0</v>
      </c>
      <c r="P46" s="245">
        <f>'Rider Rates'!$D$107</f>
        <v>44894</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227</v>
      </c>
      <c r="B47" s="78"/>
      <c r="C47" s="78"/>
      <c r="D47" s="195"/>
      <c r="E47" s="113" t="s">
        <v>114</v>
      </c>
      <c r="F47" s="106"/>
      <c r="G47" s="114"/>
      <c r="H47" s="115"/>
      <c r="I47" s="260">
        <f>'Rider Rates'!B120</f>
        <v>1.26</v>
      </c>
      <c r="J47" s="261">
        <f t="shared" si="3"/>
        <v>1.26</v>
      </c>
      <c r="K47" s="104"/>
      <c r="L47" s="105"/>
      <c r="M47" s="105"/>
      <c r="N47" s="262">
        <f>I47</f>
        <v>1.26</v>
      </c>
      <c r="O47" s="105">
        <f>SUM(L47:N47)</f>
        <v>1.26</v>
      </c>
      <c r="P47" s="245">
        <f>'Rider Rates'!D120</f>
        <v>45226</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10" t="s">
        <v>218</v>
      </c>
      <c r="B48" s="78"/>
      <c r="C48" s="78"/>
      <c r="D48" s="100">
        <f>IF($D$17&lt;1,0,$D$17)</f>
        <v>0</v>
      </c>
      <c r="E48" s="101" t="s">
        <v>41</v>
      </c>
      <c r="F48" s="249" t="s">
        <v>8</v>
      </c>
      <c r="G48" s="103"/>
      <c r="H48" s="103"/>
      <c r="I48" s="103">
        <f>'Rider Rates'!$B$116</f>
        <v>-2.3000000000000001E-4</v>
      </c>
      <c r="J48" s="237">
        <f t="shared" si="3"/>
        <v>-2.3000000000000001E-4</v>
      </c>
      <c r="K48" s="104" t="s">
        <v>42</v>
      </c>
      <c r="L48" s="105"/>
      <c r="M48" s="105"/>
      <c r="N48" s="105">
        <f>D48*J48</f>
        <v>0</v>
      </c>
      <c r="O48" s="105">
        <f t="shared" si="2"/>
        <v>0</v>
      </c>
      <c r="P48" s="245">
        <f>'Rider Rates'!D116</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241" t="s">
        <v>240</v>
      </c>
      <c r="B49" s="78"/>
      <c r="C49" s="78"/>
      <c r="D49" s="100"/>
      <c r="E49" s="101" t="s">
        <v>114</v>
      </c>
      <c r="F49" s="102" t="s">
        <v>8</v>
      </c>
      <c r="G49" s="265"/>
      <c r="H49" s="265"/>
      <c r="I49" s="265">
        <f>'Rider Rates'!$B$124</f>
        <v>0.1</v>
      </c>
      <c r="J49" s="265">
        <f t="shared" si="3"/>
        <v>0.1</v>
      </c>
      <c r="K49" s="104"/>
      <c r="L49" s="209"/>
      <c r="M49" s="209"/>
      <c r="N49" s="209">
        <f>J49</f>
        <v>0.1</v>
      </c>
      <c r="O49" s="209">
        <f>SUM(L49:N49)</f>
        <v>0.1</v>
      </c>
      <c r="P49" s="266">
        <f>'Rider Rates'!E124</f>
        <v>44927</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241" t="s">
        <v>252</v>
      </c>
      <c r="B50" s="78"/>
      <c r="C50" s="78"/>
      <c r="D50" s="100">
        <f>D17</f>
        <v>0</v>
      </c>
      <c r="E50" s="101" t="s">
        <v>41</v>
      </c>
      <c r="F50" s="249" t="s">
        <v>8</v>
      </c>
      <c r="G50" s="103"/>
      <c r="H50" s="103"/>
      <c r="I50" s="103">
        <f>'Rider Rates'!B129</f>
        <v>0</v>
      </c>
      <c r="J50" s="237">
        <f t="shared" si="3"/>
        <v>0</v>
      </c>
      <c r="K50" s="104" t="s">
        <v>42</v>
      </c>
      <c r="L50" s="105"/>
      <c r="M50" s="105"/>
      <c r="N50" s="105">
        <f>D50*J50</f>
        <v>0</v>
      </c>
      <c r="O50" s="105">
        <f>SUM(L50:N50)</f>
        <v>0</v>
      </c>
      <c r="P50" s="245">
        <f>'Rider Rates'!D129</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5">
      <c r="A51" s="241" t="s">
        <v>251</v>
      </c>
      <c r="B51" s="78"/>
      <c r="C51" s="78"/>
      <c r="D51" s="100"/>
      <c r="E51" s="101" t="s">
        <v>114</v>
      </c>
      <c r="F51" s="102" t="s">
        <v>8</v>
      </c>
      <c r="G51" s="265"/>
      <c r="H51" s="265"/>
      <c r="I51" s="265">
        <f>'Rider Rates'!$B$136</f>
        <v>0</v>
      </c>
      <c r="J51" s="265">
        <f t="shared" si="3"/>
        <v>0</v>
      </c>
      <c r="K51" s="104"/>
      <c r="L51" s="209"/>
      <c r="M51" s="209"/>
      <c r="N51" s="209">
        <f>J51</f>
        <v>0</v>
      </c>
      <c r="O51" s="209">
        <f>SUM(L51:N51)</f>
        <v>0</v>
      </c>
      <c r="P51" s="266">
        <f>'Rider Rates'!D136</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5">
      <c r="A52" s="241" t="s">
        <v>253</v>
      </c>
      <c r="B52" s="78"/>
      <c r="C52" s="78"/>
      <c r="D52" s="100"/>
      <c r="E52" s="101"/>
      <c r="F52" s="102"/>
      <c r="G52" s="265"/>
      <c r="H52" s="265"/>
      <c r="I52" s="265"/>
      <c r="J52" s="265"/>
      <c r="K52" s="104"/>
      <c r="L52" s="209"/>
      <c r="M52" s="209"/>
      <c r="N52" s="209"/>
      <c r="O52" s="209"/>
      <c r="P52" s="266"/>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ht="13" x14ac:dyDescent="0.3">
      <c r="A53" s="179" t="s">
        <v>70</v>
      </c>
      <c r="B53" s="148"/>
      <c r="C53" s="148"/>
      <c r="D53" s="180"/>
      <c r="E53" s="181"/>
      <c r="F53" s="182"/>
      <c r="G53" s="182"/>
      <c r="H53" s="182"/>
      <c r="I53" s="182"/>
      <c r="J53" s="182"/>
      <c r="K53" s="183"/>
      <c r="L53" s="169">
        <f>SUM(L31:L52)</f>
        <v>0</v>
      </c>
      <c r="M53" s="169">
        <f>SUM(M31:M52)</f>
        <v>0</v>
      </c>
      <c r="N53" s="169">
        <f>SUM(N31:N52)</f>
        <v>7.879999999999999</v>
      </c>
      <c r="O53" s="169">
        <f>SUM(O31:O52)</f>
        <v>7.879999999999999</v>
      </c>
      <c r="P53" s="184"/>
      <c r="Q53" s="106"/>
      <c r="R53" s="166"/>
      <c r="S53" s="166"/>
      <c r="T53" s="189"/>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5">
      <c r="A54" s="78"/>
      <c r="B54" s="78"/>
      <c r="C54" s="78"/>
      <c r="D54" s="100"/>
      <c r="E54" s="113"/>
      <c r="F54" s="106"/>
      <c r="G54" s="106"/>
      <c r="H54" s="106"/>
      <c r="I54" s="106"/>
      <c r="J54" s="107"/>
      <c r="K54" s="104"/>
      <c r="L54" s="106"/>
      <c r="M54" s="106"/>
      <c r="N54" s="106"/>
      <c r="O54" s="106"/>
      <c r="P54" s="164"/>
      <c r="Q54" s="106"/>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ht="13" x14ac:dyDescent="0.3">
      <c r="A55" s="185" t="s">
        <v>93</v>
      </c>
      <c r="B55" s="170"/>
      <c r="C55" s="170"/>
      <c r="D55" s="170"/>
      <c r="E55" s="170"/>
      <c r="F55" s="170"/>
      <c r="G55" s="170"/>
      <c r="H55" s="170"/>
      <c r="I55" s="170"/>
      <c r="J55" s="170"/>
      <c r="K55" s="170"/>
      <c r="L55" s="186">
        <f>L27+L53</f>
        <v>0</v>
      </c>
      <c r="M55" s="186">
        <f>M27+M53</f>
        <v>0</v>
      </c>
      <c r="N55" s="186">
        <f>N27+N53</f>
        <v>17.88</v>
      </c>
      <c r="O55" s="187">
        <f>O27+O53</f>
        <v>17.88</v>
      </c>
      <c r="P55" s="187"/>
      <c r="Q55" s="106"/>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ht="13" x14ac:dyDescent="0.3">
      <c r="A56" s="78"/>
      <c r="B56" s="78"/>
      <c r="C56" s="78"/>
      <c r="D56" s="78"/>
      <c r="E56" s="78"/>
      <c r="F56" s="78"/>
      <c r="G56" s="78"/>
      <c r="H56" s="78"/>
      <c r="I56" s="78"/>
      <c r="J56" s="78"/>
      <c r="K56" s="78"/>
      <c r="L56" s="78"/>
      <c r="M56" s="78"/>
      <c r="N56" s="151"/>
      <c r="O56" s="151"/>
      <c r="P56" s="151"/>
      <c r="Q56" s="166"/>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ht="13" x14ac:dyDescent="0.3">
      <c r="A57" s="78"/>
      <c r="B57" s="78"/>
      <c r="C57" s="78"/>
      <c r="D57" s="78"/>
      <c r="E57" s="78"/>
      <c r="F57" s="78"/>
      <c r="G57" s="78"/>
      <c r="H57" s="78"/>
      <c r="I57" s="78"/>
      <c r="J57" s="78"/>
      <c r="K57" s="78"/>
      <c r="L57" s="78"/>
      <c r="M57" s="78"/>
      <c r="N57" s="151"/>
      <c r="O57" s="151"/>
      <c r="P57" s="151"/>
      <c r="Q57" s="166"/>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166" t="s">
        <v>92</v>
      </c>
      <c r="B58" s="78"/>
      <c r="C58" s="78"/>
      <c r="D58" s="78"/>
      <c r="E58" s="78"/>
      <c r="F58" s="78"/>
      <c r="G58" s="78"/>
      <c r="H58" s="78"/>
      <c r="I58" s="78"/>
      <c r="J58" s="78"/>
      <c r="K58" s="78"/>
      <c r="L58" s="78"/>
      <c r="M58" s="78"/>
      <c r="N58" s="78"/>
      <c r="O58" s="109">
        <f>IF(D17&lt;0,MIN(O25,O55),O25)</f>
        <v>10</v>
      </c>
      <c r="P58" s="151"/>
      <c r="Q58" s="166"/>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3" x14ac:dyDescent="0.3">
      <c r="A59" s="166" t="s">
        <v>15</v>
      </c>
      <c r="B59" s="166"/>
      <c r="C59" s="166"/>
      <c r="D59" s="166"/>
      <c r="E59" s="166"/>
      <c r="F59" s="166"/>
      <c r="G59" s="166"/>
      <c r="H59" s="166"/>
      <c r="I59" s="78"/>
      <c r="J59" s="78"/>
      <c r="K59" s="78"/>
      <c r="L59" s="78"/>
      <c r="M59" s="78"/>
      <c r="N59" s="151"/>
      <c r="O59" s="151"/>
      <c r="P59" s="151"/>
      <c r="Q59" s="78"/>
      <c r="R59" s="107"/>
      <c r="S59" s="108"/>
      <c r="T59" s="109"/>
      <c r="U59" s="78"/>
      <c r="V59" s="110"/>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ht="13" x14ac:dyDescent="0.3">
      <c r="A60" s="148" t="s">
        <v>116</v>
      </c>
      <c r="B60" s="151"/>
      <c r="C60" s="151"/>
      <c r="D60" s="151"/>
      <c r="E60" s="151"/>
      <c r="F60" s="151"/>
      <c r="G60" s="151"/>
      <c r="H60" s="151"/>
      <c r="I60" s="151"/>
      <c r="J60" s="151"/>
      <c r="K60" s="151"/>
      <c r="L60" s="151"/>
      <c r="M60" s="151"/>
      <c r="N60" s="151"/>
      <c r="O60" s="190">
        <f>IF($D$17&lt;0,O55,IF(O55&gt;O58,O55,O58))</f>
        <v>17.88</v>
      </c>
      <c r="P60" s="160"/>
      <c r="Q60" s="78"/>
      <c r="R60" s="107"/>
      <c r="S60" s="108"/>
      <c r="T60" s="109"/>
      <c r="U60" s="78"/>
      <c r="V60" s="110"/>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ht="13" x14ac:dyDescent="0.3">
      <c r="A61" s="148"/>
      <c r="B61" s="151"/>
      <c r="C61" s="151"/>
      <c r="D61" s="151"/>
      <c r="E61" s="151"/>
      <c r="F61" s="151"/>
      <c r="G61" s="151"/>
      <c r="H61" s="151"/>
      <c r="I61" s="151"/>
      <c r="J61" s="151"/>
      <c r="K61" s="151"/>
      <c r="L61" s="151"/>
      <c r="M61" s="151"/>
      <c r="N61" s="151"/>
      <c r="O61" s="138"/>
      <c r="P61" s="160"/>
      <c r="Q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ht="13" x14ac:dyDescent="0.3">
      <c r="A62" s="148"/>
      <c r="B62" s="166"/>
      <c r="C62" s="166"/>
      <c r="D62" s="166"/>
      <c r="E62" s="166"/>
      <c r="F62" s="166"/>
      <c r="G62" s="166"/>
      <c r="H62" s="166"/>
      <c r="I62" s="166" t="s">
        <v>120</v>
      </c>
      <c r="J62" s="166"/>
      <c r="K62" s="166"/>
      <c r="L62" s="191"/>
      <c r="M62" s="191"/>
      <c r="N62" s="191"/>
      <c r="O62" s="191">
        <f>ROUND(IF($D$17&lt;1,0,O55/($D$17*100)*10000),2)</f>
        <v>0</v>
      </c>
      <c r="P62" s="37" t="s">
        <v>86</v>
      </c>
      <c r="Q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c r="HN62" s="78"/>
      <c r="HO62" s="78"/>
      <c r="HP62" s="78"/>
      <c r="HQ62" s="78"/>
      <c r="HR62" s="78"/>
      <c r="HS62" s="78"/>
      <c r="HT62" s="78"/>
      <c r="HU62" s="78"/>
      <c r="HV62" s="78"/>
      <c r="HW62" s="78"/>
      <c r="HX62" s="78"/>
      <c r="HY62" s="78"/>
      <c r="HZ62" s="78"/>
      <c r="IA62" s="78"/>
      <c r="IB62" s="78"/>
    </row>
    <row r="63" spans="1:236" ht="13" x14ac:dyDescent="0.3">
      <c r="A63" s="37"/>
      <c r="B63" s="78"/>
      <c r="C63" s="78"/>
      <c r="D63" s="78"/>
      <c r="E63" s="78"/>
      <c r="F63" s="78"/>
      <c r="G63" s="78"/>
      <c r="H63" s="192"/>
      <c r="I63" s="242" t="s">
        <v>199</v>
      </c>
      <c r="J63" s="78"/>
      <c r="K63" s="78"/>
      <c r="L63" s="78"/>
      <c r="M63" s="78"/>
      <c r="N63" s="78"/>
      <c r="O63" s="243">
        <f>ROUND(IF($D$17&lt;1,0,(L55)/($D$17*100)*10000),2)</f>
        <v>0</v>
      </c>
      <c r="P63" s="25" t="s">
        <v>86</v>
      </c>
      <c r="Q63" s="78"/>
      <c r="AE63" s="78"/>
      <c r="AF63" s="78"/>
      <c r="AG63" s="78"/>
      <c r="AH63" s="78"/>
      <c r="AI63" s="78"/>
      <c r="AJ63" s="78"/>
      <c r="AK63" s="78"/>
      <c r="AL63" s="78"/>
      <c r="AM63" s="78"/>
      <c r="AN63" s="78"/>
      <c r="AO63" s="78"/>
      <c r="AP63" s="78"/>
      <c r="AQ63" s="78"/>
      <c r="AR63" s="78"/>
      <c r="AS63" s="78"/>
      <c r="AT63" s="78"/>
      <c r="HE63" s="78"/>
      <c r="HF63" s="78"/>
      <c r="HG63" s="78"/>
      <c r="HH63" s="78"/>
      <c r="HI63" s="78"/>
      <c r="HJ63" s="78"/>
      <c r="HK63" s="78"/>
      <c r="HL63" s="78"/>
      <c r="HM63" s="78"/>
      <c r="HN63" s="78"/>
    </row>
    <row r="64" spans="1:236" ht="13" x14ac:dyDescent="0.3">
      <c r="A64" s="99"/>
      <c r="B64" s="78"/>
      <c r="C64" s="78"/>
      <c r="D64" s="100"/>
      <c r="E64" s="101"/>
      <c r="F64" s="106"/>
      <c r="G64" s="133"/>
      <c r="H64" s="56"/>
      <c r="I64" s="133"/>
      <c r="J64" s="25"/>
      <c r="K64" s="25"/>
      <c r="L64" s="134"/>
      <c r="M64" s="134"/>
      <c r="N64" s="134"/>
      <c r="O64" s="135"/>
      <c r="Q64" s="80"/>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21" x14ac:dyDescent="0.25">
      <c r="A65" s="99"/>
      <c r="B65" s="78"/>
      <c r="C65" s="78"/>
      <c r="D65" s="100"/>
      <c r="E65" s="113"/>
      <c r="F65" s="106"/>
      <c r="Q65" s="80"/>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21" x14ac:dyDescent="0.25">
      <c r="A66" s="78"/>
      <c r="D66" s="1"/>
      <c r="E66" s="35"/>
      <c r="F66" s="106"/>
      <c r="Q66" s="80"/>
    </row>
    <row r="67" spans="1:221" ht="13" x14ac:dyDescent="0.3">
      <c r="A67" s="96"/>
      <c r="D67" s="1"/>
      <c r="E67" s="35"/>
      <c r="F67" s="4"/>
      <c r="Q67" s="36"/>
    </row>
    <row r="68" spans="1:221" ht="13" x14ac:dyDescent="0.3">
      <c r="A68" s="96"/>
      <c r="D68" s="1"/>
      <c r="E68" s="35"/>
      <c r="F68" s="4"/>
      <c r="Q68" s="36"/>
    </row>
    <row r="69" spans="1:221" ht="13" x14ac:dyDescent="0.3">
      <c r="A69" s="41"/>
      <c r="B69" s="77"/>
      <c r="C69" s="77"/>
      <c r="D69" s="77"/>
      <c r="E69" s="77"/>
      <c r="F69" s="77"/>
    </row>
    <row r="70" spans="1:221" ht="13" x14ac:dyDescent="0.3">
      <c r="B70" s="37"/>
      <c r="C70" s="37"/>
      <c r="D70" s="37"/>
      <c r="E70" s="37"/>
      <c r="F70" s="37"/>
      <c r="P70" s="37"/>
      <c r="Q70" s="37"/>
    </row>
    <row r="71" spans="1:221" ht="13" x14ac:dyDescent="0.3">
      <c r="B71" s="37"/>
      <c r="C71" s="37"/>
      <c r="D71" s="37"/>
      <c r="E71" s="37"/>
      <c r="F71" s="37"/>
      <c r="P71" s="25"/>
      <c r="Q71" s="25"/>
    </row>
    <row r="74" spans="1:221" x14ac:dyDescent="0.25">
      <c r="A74" s="434"/>
    </row>
    <row r="75" spans="1:221" x14ac:dyDescent="0.25">
      <c r="A75" s="434"/>
    </row>
    <row r="76" spans="1:221" x14ac:dyDescent="0.25">
      <c r="A76" s="434"/>
    </row>
    <row r="77" spans="1:221" x14ac:dyDescent="0.25">
      <c r="A77" s="434"/>
    </row>
    <row r="78" spans="1:221" x14ac:dyDescent="0.25">
      <c r="A78" s="434"/>
    </row>
    <row r="79" spans="1:221" x14ac:dyDescent="0.25">
      <c r="A79" s="434"/>
    </row>
    <row r="80" spans="1:221"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sheetData>
  <sheetProtection algorithmName="SHA-512" hashValue="1kL4xqkMCsV5viZssHCh8j9gxeW8YrtAtSMGkiv6fxCTSmNWRu7RvNxec/4GlqUj2SgBVYsbMSATP7ckNmEWHQ==" saltValue="dmvmtkkdPtIf3inYwJNjBg==" spinCount="100000" sheet="1" objects="1" scenarios="1"/>
  <mergeCells count="8">
    <mergeCell ref="A74:A88"/>
    <mergeCell ref="A1:P1"/>
    <mergeCell ref="A2:P3"/>
    <mergeCell ref="A4:P4"/>
    <mergeCell ref="B6:O6"/>
    <mergeCell ref="A7:K7"/>
    <mergeCell ref="G23:J23"/>
    <mergeCell ref="L23:O23"/>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8849"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8850" r:id="rId5" name="Button 2">
              <controlPr defaultSize="0" print="0" autoFill="0" autoPict="0" macro="[0]!Info">
                <anchor moveWithCells="1">
                  <from>
                    <xdr:col>16</xdr:col>
                    <xdr:colOff>393700</xdr:colOff>
                    <xdr:row>81</xdr:row>
                    <xdr:rowOff>38100</xdr:rowOff>
                  </from>
                  <to>
                    <xdr:col>30</xdr:col>
                    <xdr:colOff>165100</xdr:colOff>
                    <xdr:row>82</xdr:row>
                    <xdr:rowOff>88900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IB62"/>
  <sheetViews>
    <sheetView showGridLines="0" zoomScale="80" zoomScaleNormal="80" workbookViewId="0">
      <selection activeCell="C9" sqref="C9"/>
    </sheetView>
  </sheetViews>
  <sheetFormatPr defaultRowHeight="12.5" x14ac:dyDescent="0.25"/>
  <cols>
    <col min="1" max="1" width="39" customWidth="1"/>
    <col min="2" max="2" width="2.1796875" customWidth="1"/>
    <col min="3" max="3" width="13" customWidth="1"/>
    <col min="4" max="4" width="15.26953125" customWidth="1"/>
    <col min="5" max="5" width="10.453125" customWidth="1"/>
    <col min="6" max="6" width="5.54296875" customWidth="1"/>
    <col min="7" max="8" width="13.26953125" customWidth="1"/>
    <col min="9" max="9" width="14.54296875" customWidth="1"/>
    <col min="10" max="10" width="13.26953125" customWidth="1"/>
    <col min="11" max="11" width="5.54296875" bestFit="1" customWidth="1"/>
    <col min="12" max="12" width="15.1796875" customWidth="1"/>
    <col min="13" max="13" width="17.26953125" bestFit="1" customWidth="1"/>
    <col min="14" max="14" width="17.7265625" customWidth="1"/>
    <col min="15" max="15" width="18.7265625" customWidth="1"/>
    <col min="16" max="16" width="15" customWidth="1"/>
    <col min="17" max="17" width="12.81640625" bestFit="1" customWidth="1"/>
    <col min="18" max="18" width="10.542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c r="Q1" s="203"/>
    </row>
    <row r="2" spans="1:30" ht="20" x14ac:dyDescent="0.4">
      <c r="A2" s="452" t="s">
        <v>279</v>
      </c>
      <c r="B2" s="452"/>
      <c r="C2" s="452"/>
      <c r="D2" s="452"/>
      <c r="E2" s="452"/>
      <c r="F2" s="452"/>
      <c r="G2" s="452"/>
      <c r="H2" s="452"/>
      <c r="I2" s="452"/>
      <c r="J2" s="452"/>
      <c r="K2" s="452"/>
      <c r="L2" s="452"/>
      <c r="M2" s="452"/>
      <c r="N2" s="452"/>
      <c r="O2" s="452"/>
      <c r="P2" s="452"/>
      <c r="Q2" s="197"/>
    </row>
    <row r="3" spans="1:30" ht="18" x14ac:dyDescent="0.4">
      <c r="A3" s="437" t="s">
        <v>94</v>
      </c>
      <c r="B3" s="437"/>
      <c r="C3" s="437"/>
      <c r="D3" s="437"/>
      <c r="E3" s="437"/>
      <c r="F3" s="437"/>
      <c r="G3" s="437"/>
      <c r="H3" s="437"/>
      <c r="I3" s="437"/>
      <c r="J3" s="437"/>
      <c r="K3" s="437"/>
      <c r="L3" s="437"/>
      <c r="M3" s="437"/>
      <c r="N3" s="437"/>
      <c r="O3" s="437"/>
      <c r="P3" s="437"/>
      <c r="Q3" s="198"/>
    </row>
    <row r="4" spans="1:30" ht="15.5" x14ac:dyDescent="0.35">
      <c r="A4" s="437"/>
      <c r="B4" s="437"/>
      <c r="C4" s="437"/>
      <c r="D4" s="437"/>
      <c r="E4" s="437"/>
      <c r="F4" s="437"/>
      <c r="G4" s="437"/>
      <c r="H4" s="437"/>
      <c r="I4" s="437"/>
      <c r="J4" s="437"/>
      <c r="K4" s="437"/>
      <c r="L4" s="437"/>
      <c r="M4" s="437"/>
      <c r="N4" s="437"/>
      <c r="O4" s="437"/>
      <c r="P4" s="437"/>
      <c r="Q4" s="199"/>
    </row>
    <row r="5" spans="1:30" x14ac:dyDescent="0.25">
      <c r="A5" s="76">
        <f ca="1">TODAY()</f>
        <v>45378</v>
      </c>
      <c r="B5" s="444" t="s">
        <v>300</v>
      </c>
      <c r="C5" s="444"/>
      <c r="D5" s="444"/>
      <c r="E5" s="444"/>
      <c r="F5" s="444"/>
      <c r="G5" s="444"/>
      <c r="H5" s="444"/>
      <c r="I5" s="444"/>
      <c r="J5" s="444"/>
      <c r="K5" s="444"/>
      <c r="L5" s="444"/>
      <c r="M5" s="444"/>
      <c r="N5" s="444"/>
      <c r="O5" s="444"/>
    </row>
    <row r="6" spans="1:30" x14ac:dyDescent="0.25">
      <c r="A6" s="435" t="s">
        <v>15</v>
      </c>
      <c r="B6" s="435"/>
      <c r="C6" s="435"/>
      <c r="D6" s="435"/>
      <c r="E6" s="435"/>
      <c r="F6" s="435"/>
      <c r="G6" s="435"/>
      <c r="H6" s="435"/>
      <c r="I6" s="435"/>
      <c r="J6" s="435"/>
      <c r="K6" s="435"/>
    </row>
    <row r="7" spans="1:30" x14ac:dyDescent="0.25">
      <c r="C7" s="18"/>
      <c r="D7" s="18"/>
      <c r="E7" s="18"/>
      <c r="F7" s="18"/>
      <c r="G7" s="18"/>
      <c r="H7" s="18"/>
      <c r="I7" s="18"/>
      <c r="J7" s="18"/>
      <c r="K7" s="18"/>
    </row>
    <row r="8" spans="1:30" ht="15.5" x14ac:dyDescent="0.35">
      <c r="A8" s="23" t="s">
        <v>2</v>
      </c>
      <c r="B8" s="24"/>
      <c r="C8" s="25">
        <f>'Customer Info'!B7</f>
        <v>0</v>
      </c>
      <c r="I8" s="26"/>
    </row>
    <row r="9" spans="1:30" ht="15.5" x14ac:dyDescent="0.35">
      <c r="A9" s="27" t="s">
        <v>26</v>
      </c>
      <c r="B9" s="24"/>
      <c r="C9" s="25">
        <f>'Customer Info'!B8</f>
        <v>0</v>
      </c>
    </row>
    <row r="10" spans="1:30" ht="13" x14ac:dyDescent="0.3">
      <c r="A10" s="23" t="s">
        <v>3</v>
      </c>
      <c r="B10" s="200">
        <f>'Customer Info'!B9</f>
        <v>4</v>
      </c>
      <c r="C10" s="194" t="str">
        <f>LOOKUP(B10,S11:AD11,S12:AD12)</f>
        <v>April</v>
      </c>
      <c r="D10" s="133">
        <f>'Customer Info'!C9</f>
        <v>2024</v>
      </c>
    </row>
    <row r="11" spans="1:30" ht="13" x14ac:dyDescent="0.3">
      <c r="A11" s="446"/>
      <c r="B11" s="446"/>
      <c r="C11" s="446"/>
      <c r="D11" s="446"/>
      <c r="E11" s="446"/>
      <c r="F11" s="446"/>
      <c r="G11" s="446"/>
      <c r="H11" s="446"/>
      <c r="I11" s="446"/>
      <c r="J11" s="94"/>
      <c r="K11" s="94"/>
      <c r="L11" s="94"/>
      <c r="M11" s="94"/>
      <c r="N11" s="94"/>
      <c r="O11" s="94"/>
      <c r="P11" s="94"/>
      <c r="S11">
        <v>1</v>
      </c>
      <c r="T11">
        <v>2</v>
      </c>
      <c r="U11">
        <v>3</v>
      </c>
      <c r="V11">
        <v>4</v>
      </c>
      <c r="W11">
        <v>5</v>
      </c>
      <c r="X11">
        <v>6</v>
      </c>
      <c r="Y11">
        <v>7</v>
      </c>
      <c r="Z11">
        <v>8</v>
      </c>
      <c r="AA11">
        <v>9</v>
      </c>
      <c r="AB11">
        <v>10</v>
      </c>
      <c r="AC11">
        <v>11</v>
      </c>
      <c r="AD11">
        <v>12</v>
      </c>
    </row>
    <row r="12" spans="1:30" ht="13" x14ac:dyDescent="0.3">
      <c r="A12" s="97" t="s">
        <v>27</v>
      </c>
      <c r="B12" s="18"/>
      <c r="C12" s="18"/>
      <c r="D12" s="18"/>
      <c r="E12" s="18"/>
      <c r="F12" s="18"/>
      <c r="G12" s="18"/>
      <c r="H12" s="18"/>
      <c r="I12" s="1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x14ac:dyDescent="0.25">
      <c r="A13" s="18"/>
      <c r="B13" s="18"/>
      <c r="C13" s="18"/>
      <c r="D13" s="18"/>
      <c r="E13" s="18"/>
      <c r="F13" s="18"/>
      <c r="G13" s="18"/>
      <c r="H13" s="18"/>
      <c r="I13" s="18"/>
      <c r="R13" s="78" t="s">
        <v>117</v>
      </c>
      <c r="S13" s="193">
        <v>1.8274700000000001E-2</v>
      </c>
      <c r="T13" s="193">
        <v>1.8274700000000001E-2</v>
      </c>
      <c r="U13" s="193">
        <v>1.8274700000000001E-2</v>
      </c>
      <c r="V13" s="193">
        <v>1.8274700000000001E-2</v>
      </c>
      <c r="W13" s="193">
        <v>1.8274700000000001E-2</v>
      </c>
      <c r="X13" s="193">
        <v>1.8274700000000001E-2</v>
      </c>
      <c r="Y13" s="193">
        <v>1.8274700000000001E-2</v>
      </c>
      <c r="Z13" s="193">
        <v>1.8274700000000001E-2</v>
      </c>
      <c r="AA13" s="193">
        <v>1.8274700000000001E-2</v>
      </c>
      <c r="AB13" s="193">
        <v>1.8274700000000001E-2</v>
      </c>
      <c r="AC13" s="193">
        <v>1.8274700000000001E-2</v>
      </c>
      <c r="AD13" s="193">
        <v>1.8274700000000001E-2</v>
      </c>
    </row>
    <row r="14" spans="1:30" x14ac:dyDescent="0.25">
      <c r="A14" s="31" t="s">
        <v>43</v>
      </c>
      <c r="B14" s="31"/>
      <c r="C14" s="32">
        <f>IF('Customer Info'!B21+'Customer Info'!B22-'Customer Info'!B23&lt;0,0,'Customer Info'!B21+'Customer Info'!B22-'Customer Info'!B23)</f>
        <v>0</v>
      </c>
      <c r="D14" s="31" t="s">
        <v>41</v>
      </c>
      <c r="E14" s="31"/>
      <c r="F14" s="33"/>
      <c r="G14" s="31"/>
      <c r="H14" s="31"/>
      <c r="I14" s="31"/>
      <c r="R14" s="78" t="s">
        <v>118</v>
      </c>
      <c r="S14" s="193">
        <v>1.8274700000000001E-2</v>
      </c>
      <c r="T14" s="193">
        <v>1.8274700000000001E-2</v>
      </c>
      <c r="U14" s="193">
        <v>1.8274700000000001E-2</v>
      </c>
      <c r="V14" s="193">
        <v>1.8274700000000001E-2</v>
      </c>
      <c r="W14" s="193">
        <v>1.8274700000000001E-2</v>
      </c>
      <c r="X14" s="193">
        <v>1.8274700000000001E-2</v>
      </c>
      <c r="Y14" s="193">
        <v>1.8274700000000001E-2</v>
      </c>
      <c r="Z14" s="193">
        <v>1.8274700000000001E-2</v>
      </c>
      <c r="AA14" s="193">
        <v>1.8274700000000001E-2</v>
      </c>
      <c r="AB14" s="193">
        <v>1.8274700000000001E-2</v>
      </c>
      <c r="AC14" s="193">
        <v>1.8274700000000001E-2</v>
      </c>
      <c r="AD14" s="193">
        <v>1.8274700000000001E-2</v>
      </c>
    </row>
    <row r="15" spans="1:30" x14ac:dyDescent="0.25">
      <c r="A15" s="31" t="s">
        <v>84</v>
      </c>
      <c r="B15" s="31"/>
      <c r="C15" s="212">
        <f>MAX('Customer Info'!B18,'Customer Info'!B19)</f>
        <v>0</v>
      </c>
      <c r="D15" s="31" t="s">
        <v>45</v>
      </c>
      <c r="E15" s="31"/>
      <c r="F15" s="33"/>
      <c r="G15" s="31"/>
      <c r="H15" s="31"/>
      <c r="I15" s="31"/>
      <c r="R15" s="78" t="s">
        <v>123</v>
      </c>
      <c r="S15" s="193">
        <v>1.8274700000000001E-2</v>
      </c>
      <c r="T15" s="193">
        <v>1.8274700000000001E-2</v>
      </c>
      <c r="U15" s="193">
        <v>1.8274700000000001E-2</v>
      </c>
      <c r="V15" s="193">
        <v>1.8274700000000001E-2</v>
      </c>
      <c r="W15" s="193">
        <v>1.8274700000000001E-2</v>
      </c>
      <c r="X15" s="193">
        <v>1.8274700000000001E-2</v>
      </c>
      <c r="Y15" s="193">
        <v>1.8274700000000001E-2</v>
      </c>
      <c r="Z15" s="193">
        <v>1.8274700000000001E-2</v>
      </c>
      <c r="AA15" s="193">
        <v>1.8274700000000001E-2</v>
      </c>
      <c r="AB15" s="193">
        <v>1.8274700000000001E-2</v>
      </c>
      <c r="AC15" s="193">
        <v>1.8274700000000001E-2</v>
      </c>
      <c r="AD15" s="193">
        <v>1.8274700000000001E-2</v>
      </c>
    </row>
    <row r="16" spans="1:30" ht="13" x14ac:dyDescent="0.3">
      <c r="A16" s="31"/>
      <c r="B16" s="31"/>
      <c r="C16" s="33"/>
      <c r="D16" s="33"/>
      <c r="E16" s="33"/>
      <c r="F16" s="33"/>
      <c r="G16" s="23"/>
      <c r="H16" s="31"/>
      <c r="I16" s="31"/>
      <c r="R16" t="s">
        <v>166</v>
      </c>
      <c r="S16" s="222">
        <f>'Rider Rates'!$C$29</f>
        <v>5.3820999999999999E-3</v>
      </c>
      <c r="T16" s="222">
        <f>'Rider Rates'!$C$29</f>
        <v>5.3820999999999999E-3</v>
      </c>
      <c r="U16" s="222">
        <f>'Rider Rates'!$C$29</f>
        <v>5.3820999999999999E-3</v>
      </c>
      <c r="V16" s="222">
        <f>'Rider Rates'!$C$29</f>
        <v>5.3820999999999999E-3</v>
      </c>
      <c r="W16" s="222">
        <f>'Rider Rates'!$C$29</f>
        <v>5.3820999999999999E-3</v>
      </c>
      <c r="X16" s="222">
        <f>'Rider Rates'!$B$29</f>
        <v>5.3820999999999999E-3</v>
      </c>
      <c r="Y16" s="222">
        <f>'Rider Rates'!$B$29</f>
        <v>5.3820999999999999E-3</v>
      </c>
      <c r="Z16" s="222">
        <f>'Rider Rates'!$B$29</f>
        <v>5.3820999999999999E-3</v>
      </c>
      <c r="AA16" s="222">
        <f>'Rider Rates'!$B$29</f>
        <v>5.3820999999999999E-3</v>
      </c>
      <c r="AB16" s="222">
        <f>'Rider Rates'!$C$29</f>
        <v>5.3820999999999999E-3</v>
      </c>
      <c r="AC16" s="222">
        <f>'Rider Rates'!$C$29</f>
        <v>5.3820999999999999E-3</v>
      </c>
      <c r="AD16" s="222">
        <f>'Rider Rates'!$C$29</f>
        <v>5.3820999999999999E-3</v>
      </c>
    </row>
    <row r="17" spans="1:221" ht="13" x14ac:dyDescent="0.3">
      <c r="A17" s="28" t="s">
        <v>124</v>
      </c>
      <c r="B17" s="22"/>
      <c r="C17" s="22"/>
      <c r="D17" s="22"/>
      <c r="E17" s="22"/>
      <c r="F17" s="22"/>
      <c r="G17" s="447" t="s">
        <v>67</v>
      </c>
      <c r="H17" s="448"/>
      <c r="I17" s="448"/>
      <c r="J17" s="449"/>
      <c r="K17" s="22"/>
      <c r="L17" s="450" t="s">
        <v>68</v>
      </c>
      <c r="M17" s="450"/>
      <c r="N17" s="450"/>
      <c r="O17" s="450"/>
      <c r="R17" t="s">
        <v>167</v>
      </c>
      <c r="S17" s="222">
        <f>'Rider Rates'!$C$30</f>
        <v>2.9126E-3</v>
      </c>
      <c r="T17" s="222">
        <f>'Rider Rates'!$C$30</f>
        <v>2.9126E-3</v>
      </c>
      <c r="U17" s="222">
        <f>'Rider Rates'!$C$30</f>
        <v>2.9126E-3</v>
      </c>
      <c r="V17" s="222">
        <f>'Rider Rates'!$C$30</f>
        <v>2.9126E-3</v>
      </c>
      <c r="W17" s="222">
        <f>'Rider Rates'!$C$30</f>
        <v>2.9126E-3</v>
      </c>
      <c r="X17" s="222">
        <f>'Rider Rates'!$B$30</f>
        <v>5.1126000000000001E-3</v>
      </c>
      <c r="Y17" s="222">
        <f>'Rider Rates'!$B$30</f>
        <v>5.1126000000000001E-3</v>
      </c>
      <c r="Z17" s="222">
        <f>'Rider Rates'!$B$30</f>
        <v>5.1126000000000001E-3</v>
      </c>
      <c r="AA17" s="222">
        <f>'Rider Rates'!$B$30</f>
        <v>5.1126000000000001E-3</v>
      </c>
      <c r="AB17" s="222">
        <f>'Rider Rates'!$C$30</f>
        <v>2.9126E-3</v>
      </c>
      <c r="AC17" s="222">
        <f>'Rider Rates'!$C$30</f>
        <v>2.9126E-3</v>
      </c>
      <c r="AD17" s="222">
        <f>'Rider Rates'!$C$30</f>
        <v>2.9126E-3</v>
      </c>
    </row>
    <row r="18" spans="1:221" ht="13" x14ac:dyDescent="0.3">
      <c r="A18" s="18"/>
      <c r="B18" s="18"/>
      <c r="C18" s="18"/>
      <c r="D18" s="18"/>
      <c r="E18" s="18"/>
      <c r="F18" s="18"/>
      <c r="G18" s="8" t="s">
        <v>64</v>
      </c>
      <c r="H18" s="8" t="s">
        <v>65</v>
      </c>
      <c r="I18" s="8" t="s">
        <v>66</v>
      </c>
      <c r="J18" s="112" t="s">
        <v>34</v>
      </c>
      <c r="K18" s="18"/>
      <c r="L18" s="131" t="s">
        <v>64</v>
      </c>
      <c r="M18" s="131" t="s">
        <v>65</v>
      </c>
      <c r="N18" s="131" t="s">
        <v>66</v>
      </c>
      <c r="O18" s="132" t="s">
        <v>34</v>
      </c>
      <c r="P18" s="43" t="s">
        <v>56</v>
      </c>
      <c r="R18" t="s">
        <v>168</v>
      </c>
      <c r="S18" s="222">
        <f>'Rider Rates'!$C$31</f>
        <v>3.4062999999999997E-3</v>
      </c>
      <c r="T18" s="222">
        <f>'Rider Rates'!$C$31</f>
        <v>3.4062999999999997E-3</v>
      </c>
      <c r="U18" s="222">
        <f>'Rider Rates'!$C$31</f>
        <v>3.4062999999999997E-3</v>
      </c>
      <c r="V18" s="222">
        <f>'Rider Rates'!$C$31</f>
        <v>3.4062999999999997E-3</v>
      </c>
      <c r="W18" s="222">
        <f>'Rider Rates'!$C$31</f>
        <v>3.4062999999999997E-3</v>
      </c>
      <c r="X18" s="222">
        <f>'Rider Rates'!$B$31</f>
        <v>4.7838000000000004E-3</v>
      </c>
      <c r="Y18" s="222">
        <f>'Rider Rates'!$B$31</f>
        <v>4.7838000000000004E-3</v>
      </c>
      <c r="Z18" s="222">
        <f>'Rider Rates'!$B$31</f>
        <v>4.7838000000000004E-3</v>
      </c>
      <c r="AA18" s="222">
        <f>'Rider Rates'!$B$31</f>
        <v>4.7838000000000004E-3</v>
      </c>
      <c r="AB18" s="222">
        <f>'Rider Rates'!$C$31</f>
        <v>3.4062999999999997E-3</v>
      </c>
      <c r="AC18" s="222">
        <f>'Rider Rates'!$C$31</f>
        <v>3.4062999999999997E-3</v>
      </c>
      <c r="AD18" s="222">
        <f>'Rider Rates'!$C$31</f>
        <v>3.4062999999999997E-3</v>
      </c>
    </row>
    <row r="19" spans="1:221" x14ac:dyDescent="0.25">
      <c r="A19" t="s">
        <v>32</v>
      </c>
      <c r="G19" s="83"/>
      <c r="H19" s="83"/>
      <c r="I19" s="125">
        <v>10</v>
      </c>
      <c r="J19" s="125">
        <f>SUM(G19:I19)</f>
        <v>10</v>
      </c>
      <c r="L19" s="125"/>
      <c r="M19" s="125"/>
      <c r="N19" s="125">
        <f>I19</f>
        <v>10</v>
      </c>
      <c r="O19" s="125">
        <f>+SUM(L19:N19)</f>
        <v>10</v>
      </c>
      <c r="P19" s="245">
        <v>44531</v>
      </c>
      <c r="R19" s="3" t="s">
        <v>200</v>
      </c>
      <c r="S19">
        <f>'Rider Rates'!$C$21</f>
        <v>0.10589</v>
      </c>
      <c r="T19">
        <f>'Rider Rates'!$C$21</f>
        <v>0.10589</v>
      </c>
      <c r="U19">
        <f>'Rider Rates'!$C$21</f>
        <v>0.10589</v>
      </c>
      <c r="V19">
        <f>'Rider Rates'!$C$21</f>
        <v>0.10589</v>
      </c>
      <c r="W19">
        <f>'Rider Rates'!$C$21</f>
        <v>0.10589</v>
      </c>
      <c r="X19">
        <f>'Rider Rates'!$B$21</f>
        <v>0.10589</v>
      </c>
      <c r="Y19">
        <f>'Rider Rates'!$B$21</f>
        <v>0.10589</v>
      </c>
      <c r="Z19">
        <f>'Rider Rates'!$B$21</f>
        <v>0.10589</v>
      </c>
      <c r="AA19">
        <f>'Rider Rates'!$B$21</f>
        <v>0.10589</v>
      </c>
      <c r="AB19">
        <f>'Rider Rates'!$C$21</f>
        <v>0.10589</v>
      </c>
      <c r="AC19">
        <f>'Rider Rates'!$C$21</f>
        <v>0.10589</v>
      </c>
      <c r="AD19">
        <f>'Rider Rates'!$C$21</f>
        <v>0.10589</v>
      </c>
    </row>
    <row r="20" spans="1:221" x14ac:dyDescent="0.25">
      <c r="A20" s="18" t="s">
        <v>256</v>
      </c>
      <c r="B20" s="18"/>
      <c r="C20" s="18"/>
      <c r="D20" s="100">
        <f>C15</f>
        <v>0</v>
      </c>
      <c r="E20" s="124" t="s">
        <v>45</v>
      </c>
      <c r="F20" s="20" t="s">
        <v>8</v>
      </c>
      <c r="G20" s="165"/>
      <c r="H20" s="83"/>
      <c r="I20" s="165">
        <v>4.2699999999999996</v>
      </c>
      <c r="J20" s="126">
        <f>SUM(G20:I20)</f>
        <v>4.2699999999999996</v>
      </c>
      <c r="K20" t="s">
        <v>42</v>
      </c>
      <c r="L20" s="125"/>
      <c r="M20" s="125"/>
      <c r="N20" s="125">
        <f>IF($C$14&lt;0,0,ROUND($D20*I20,2))</f>
        <v>0</v>
      </c>
      <c r="O20" s="125">
        <f>+SUM(L20:N20)</f>
        <v>0</v>
      </c>
      <c r="P20" s="245">
        <v>44531</v>
      </c>
      <c r="R20" s="3"/>
    </row>
    <row r="21" spans="1:221" ht="13" x14ac:dyDescent="0.3">
      <c r="A21" s="96" t="s">
        <v>74</v>
      </c>
      <c r="B21" s="37"/>
      <c r="C21" s="37"/>
      <c r="D21" s="38"/>
      <c r="E21" s="38"/>
      <c r="F21" s="37"/>
      <c r="G21" s="37"/>
      <c r="I21" s="40"/>
      <c r="K21" s="39"/>
      <c r="L21" s="95"/>
      <c r="M21" s="54"/>
      <c r="N21" s="95">
        <f>SUM(N19:N20)</f>
        <v>10</v>
      </c>
      <c r="O21" s="95">
        <f>SUM(O19:O20)</f>
        <v>10</v>
      </c>
      <c r="R21" s="107"/>
      <c r="S21" s="108"/>
      <c r="T21" s="109"/>
      <c r="U21" s="78"/>
      <c r="V21" s="110"/>
      <c r="W21" s="78"/>
      <c r="X21" s="78"/>
      <c r="Y21" s="78"/>
      <c r="Z21" s="78"/>
      <c r="AA21" s="78"/>
      <c r="AB21" s="78"/>
      <c r="AC21" s="78"/>
      <c r="AD21" s="78"/>
    </row>
    <row r="22" spans="1:221" ht="13" x14ac:dyDescent="0.3">
      <c r="A22" s="170"/>
      <c r="B22" s="170"/>
      <c r="C22" s="170"/>
      <c r="D22" s="171"/>
      <c r="E22" s="171"/>
      <c r="F22" s="170"/>
      <c r="G22" s="171"/>
      <c r="H22" s="171"/>
      <c r="I22" s="171"/>
      <c r="J22" s="171"/>
      <c r="K22" s="172"/>
      <c r="L22" s="171"/>
      <c r="M22" s="171"/>
      <c r="N22" s="171"/>
      <c r="O22" s="171"/>
      <c r="P22" s="171"/>
      <c r="R22" s="107"/>
      <c r="S22" s="108"/>
      <c r="T22" s="109"/>
      <c r="U22" s="78"/>
      <c r="V22" s="110"/>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69</v>
      </c>
      <c r="B23" s="166"/>
      <c r="C23" s="166"/>
      <c r="D23" s="167"/>
      <c r="E23" s="167"/>
      <c r="F23" s="166"/>
      <c r="G23" s="167"/>
      <c r="H23" s="167"/>
      <c r="I23" s="167"/>
      <c r="J23" s="167"/>
      <c r="K23" s="167"/>
      <c r="L23" s="167"/>
      <c r="M23" s="167"/>
      <c r="N23" s="167"/>
      <c r="O23" s="167"/>
      <c r="P23" s="167"/>
      <c r="R23" s="107"/>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5">
      <c r="A24" s="151"/>
      <c r="B24" s="151"/>
      <c r="C24" s="151"/>
      <c r="D24" s="151"/>
      <c r="E24" s="151"/>
      <c r="F24" s="151"/>
      <c r="G24" s="151"/>
      <c r="H24" s="151"/>
      <c r="I24" s="151"/>
      <c r="J24" s="151"/>
      <c r="K24" s="151"/>
      <c r="L24" s="151"/>
      <c r="M24" s="151"/>
      <c r="N24" s="151"/>
      <c r="O24" s="151"/>
      <c r="P24" s="106"/>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5">
      <c r="A25" s="99" t="s">
        <v>78</v>
      </c>
      <c r="B25" s="176"/>
      <c r="C25" s="176"/>
      <c r="D25" s="100">
        <f>IF($C$14&lt;0,0,IF($C$14&gt;833000,833000,$C$14))</f>
        <v>0</v>
      </c>
      <c r="E25" s="101" t="s">
        <v>41</v>
      </c>
      <c r="F25" s="102" t="s">
        <v>8</v>
      </c>
      <c r="G25" s="103"/>
      <c r="H25" s="103"/>
      <c r="I25" s="103">
        <f>'Rider Rates'!$B$4</f>
        <v>5.9216E-3</v>
      </c>
      <c r="J25" s="201">
        <f t="shared" ref="J25:J41" si="0">SUM(G25:I25)</f>
        <v>5.9216E-3</v>
      </c>
      <c r="K25" s="104" t="s">
        <v>42</v>
      </c>
      <c r="L25" s="105"/>
      <c r="M25" s="105"/>
      <c r="N25" s="105">
        <f t="shared" ref="N25:N30" si="1">ROUND(D25*I25,2)</f>
        <v>0</v>
      </c>
      <c r="O25" s="105">
        <f t="shared" ref="O25:O34" si="2">SUM(L25:N25)</f>
        <v>0</v>
      </c>
      <c r="P25" s="245">
        <f>'Rider Rates'!$D$4</f>
        <v>45293</v>
      </c>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99" t="s">
        <v>79</v>
      </c>
      <c r="B26" s="78"/>
      <c r="C26" s="78"/>
      <c r="D26" s="123">
        <f>IF($C$14&gt;833000,$C$14-833000,0)</f>
        <v>0</v>
      </c>
      <c r="E26" s="101" t="s">
        <v>41</v>
      </c>
      <c r="F26" s="102" t="s">
        <v>8</v>
      </c>
      <c r="G26" s="103"/>
      <c r="H26" s="103"/>
      <c r="I26" s="103">
        <f>'Rider Rates'!$B$5</f>
        <v>1.7560000000000001E-4</v>
      </c>
      <c r="J26" s="201">
        <f t="shared" si="0"/>
        <v>1.7560000000000001E-4</v>
      </c>
      <c r="K26" s="104" t="s">
        <v>42</v>
      </c>
      <c r="L26" s="105"/>
      <c r="M26" s="105"/>
      <c r="N26" s="105">
        <f t="shared" si="1"/>
        <v>0</v>
      </c>
      <c r="O26" s="105">
        <f t="shared" si="2"/>
        <v>0</v>
      </c>
      <c r="P26" s="245">
        <f>'Rider Rates'!$D$4</f>
        <v>45293</v>
      </c>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96</v>
      </c>
      <c r="B27" s="78"/>
      <c r="C27" s="78"/>
      <c r="D27" s="100">
        <f>IF($C$14&lt;0,0,IF($C$14&gt;2000,2000,$C$14))</f>
        <v>0</v>
      </c>
      <c r="E27" s="101" t="s">
        <v>41</v>
      </c>
      <c r="F27" s="102" t="s">
        <v>8</v>
      </c>
      <c r="G27" s="103"/>
      <c r="H27" s="103"/>
      <c r="I27" s="177">
        <f>'Rider Rates'!$B$8</f>
        <v>4.6499999999999996E-3</v>
      </c>
      <c r="J27" s="177">
        <f t="shared" si="0"/>
        <v>4.6499999999999996E-3</v>
      </c>
      <c r="K27" s="104" t="s">
        <v>42</v>
      </c>
      <c r="L27" s="105"/>
      <c r="M27" s="105"/>
      <c r="N27" s="105">
        <f t="shared" si="1"/>
        <v>0</v>
      </c>
      <c r="O27" s="105">
        <f t="shared" si="2"/>
        <v>0</v>
      </c>
      <c r="P27" s="245">
        <f>'Rider Rates'!$D$7</f>
        <v>44531</v>
      </c>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97</v>
      </c>
      <c r="B28" s="78"/>
      <c r="C28" s="78"/>
      <c r="D28" s="100">
        <f>IF($C$14&lt;=2000,0,IF($C$14=0,0,IF($C$14-2000&gt;13000,13000,$C$14-2000)))</f>
        <v>0</v>
      </c>
      <c r="E28" s="101" t="s">
        <v>41</v>
      </c>
      <c r="F28" s="102" t="s">
        <v>8</v>
      </c>
      <c r="G28" s="103"/>
      <c r="H28" s="103"/>
      <c r="I28" s="177">
        <f>'Rider Rates'!$B$9</f>
        <v>4.1900000000000001E-3</v>
      </c>
      <c r="J28" s="177">
        <f t="shared" si="0"/>
        <v>4.1900000000000001E-3</v>
      </c>
      <c r="K28" s="104" t="s">
        <v>42</v>
      </c>
      <c r="L28" s="105"/>
      <c r="M28" s="105"/>
      <c r="N28" s="105">
        <f t="shared" si="1"/>
        <v>0</v>
      </c>
      <c r="O28" s="105">
        <f t="shared" si="2"/>
        <v>0</v>
      </c>
      <c r="P28" s="245">
        <f>'Rider Rates'!$D$7</f>
        <v>44531</v>
      </c>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98</v>
      </c>
      <c r="B29" s="78"/>
      <c r="C29" s="78"/>
      <c r="D29" s="100">
        <f>IF($C$14=0,0,IF($C$14-15000&gt;=0,$C$14-15000,0))</f>
        <v>0</v>
      </c>
      <c r="E29" s="101" t="s">
        <v>41</v>
      </c>
      <c r="F29" s="102" t="s">
        <v>8</v>
      </c>
      <c r="G29" s="103"/>
      <c r="H29" s="103"/>
      <c r="I29" s="177">
        <f>'Rider Rates'!$B$10</f>
        <v>3.63E-3</v>
      </c>
      <c r="J29" s="177">
        <f t="shared" si="0"/>
        <v>3.63E-3</v>
      </c>
      <c r="K29" s="104" t="s">
        <v>42</v>
      </c>
      <c r="L29" s="105"/>
      <c r="M29" s="105"/>
      <c r="N29" s="105">
        <f t="shared" si="1"/>
        <v>0</v>
      </c>
      <c r="O29" s="105">
        <f t="shared" si="2"/>
        <v>0</v>
      </c>
      <c r="P29" s="245">
        <f>'Rider Rates'!$D$7</f>
        <v>44531</v>
      </c>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ht="13" x14ac:dyDescent="0.3">
      <c r="A30" s="99" t="s">
        <v>113</v>
      </c>
      <c r="B30" s="78"/>
      <c r="C30" s="78"/>
      <c r="D30" s="195">
        <f>$N$21</f>
        <v>10</v>
      </c>
      <c r="E30" s="101" t="s">
        <v>121</v>
      </c>
      <c r="F30" s="102" t="s">
        <v>8</v>
      </c>
      <c r="G30" s="103"/>
      <c r="H30" s="103"/>
      <c r="I30" s="178">
        <f>'Rider Rates'!$B$12</f>
        <v>0</v>
      </c>
      <c r="J30" s="178">
        <f t="shared" si="0"/>
        <v>0</v>
      </c>
      <c r="K30" s="104"/>
      <c r="L30" s="105"/>
      <c r="M30" s="105"/>
      <c r="N30" s="105">
        <f t="shared" si="1"/>
        <v>0</v>
      </c>
      <c r="O30" s="105">
        <f t="shared" si="2"/>
        <v>0</v>
      </c>
      <c r="P30" s="245">
        <f>'Rider Rates'!$D$12</f>
        <v>44531</v>
      </c>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210" t="s">
        <v>160</v>
      </c>
      <c r="B31" s="78"/>
      <c r="C31" s="78"/>
      <c r="D31" s="100">
        <f>IF($C$14&lt;0,0,$C$14)</f>
        <v>0</v>
      </c>
      <c r="E31" s="101" t="s">
        <v>41</v>
      </c>
      <c r="F31" s="102" t="s">
        <v>8</v>
      </c>
      <c r="G31" s="103"/>
      <c r="H31" s="103"/>
      <c r="I31" s="103">
        <f>'Rider Rates'!B15</f>
        <v>0</v>
      </c>
      <c r="J31" s="103">
        <f>SUM(G31:I31)</f>
        <v>0</v>
      </c>
      <c r="K31" s="104" t="s">
        <v>42</v>
      </c>
      <c r="L31" s="105"/>
      <c r="M31" s="105"/>
      <c r="N31" s="105">
        <f>ROUND(D31*I31,2)</f>
        <v>0</v>
      </c>
      <c r="O31" s="105">
        <f t="shared" si="2"/>
        <v>0</v>
      </c>
      <c r="P31" s="245">
        <f>'Rider Rates'!$D$15</f>
        <v>45167</v>
      </c>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ht="13" x14ac:dyDescent="0.3">
      <c r="A32" s="241" t="s">
        <v>247</v>
      </c>
      <c r="B32" s="78"/>
      <c r="C32" s="78"/>
      <c r="D32" s="195">
        <f>$N$21</f>
        <v>10</v>
      </c>
      <c r="E32" s="101" t="s">
        <v>121</v>
      </c>
      <c r="F32" s="102" t="s">
        <v>8</v>
      </c>
      <c r="G32" s="103"/>
      <c r="H32" s="103"/>
      <c r="I32" s="178">
        <f>'Rider Rates'!$B$18</f>
        <v>0</v>
      </c>
      <c r="J32" s="178">
        <f>SUM(G32:I32)</f>
        <v>0</v>
      </c>
      <c r="K32" s="104"/>
      <c r="L32" s="105"/>
      <c r="M32" s="105"/>
      <c r="N32" s="105">
        <f>ROUND($D$32*'Rider Rates'!$B$18,2)+ROUND($D$32*'Rider Rates'!$E$18,2)</f>
        <v>0</v>
      </c>
      <c r="O32" s="105">
        <f t="shared" si="2"/>
        <v>0</v>
      </c>
      <c r="P32" s="245">
        <f>MAX('Rider Rates'!$D$18,'Rider Rates'!$F$18)</f>
        <v>44531</v>
      </c>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241" t="s">
        <v>220</v>
      </c>
      <c r="B33" s="78"/>
      <c r="C33" s="78"/>
      <c r="D33" s="100"/>
      <c r="E33" s="101" t="s">
        <v>114</v>
      </c>
      <c r="F33" s="102"/>
      <c r="G33" s="103"/>
      <c r="H33" s="103"/>
      <c r="I33" s="103">
        <f>'Rider Rates'!D49</f>
        <v>1.47</v>
      </c>
      <c r="J33" s="103">
        <f>SUM(G33:I33)</f>
        <v>1.47</v>
      </c>
      <c r="K33" s="104" t="s">
        <v>42</v>
      </c>
      <c r="L33" s="105"/>
      <c r="M33" s="105"/>
      <c r="N33" s="105">
        <f>J33</f>
        <v>1.47</v>
      </c>
      <c r="O33" s="105">
        <f>SUM(L33:N33)</f>
        <v>1.47</v>
      </c>
      <c r="P33" s="245">
        <f>'Rider Rates'!E49</f>
        <v>45292</v>
      </c>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10" t="s">
        <v>198</v>
      </c>
      <c r="B34" s="78"/>
      <c r="C34" s="78"/>
      <c r="D34" s="100">
        <f>IF($C$14&lt;0,0,$C$14)</f>
        <v>0</v>
      </c>
      <c r="E34" s="113" t="s">
        <v>41</v>
      </c>
      <c r="F34" s="102" t="s">
        <v>8</v>
      </c>
      <c r="G34" s="103"/>
      <c r="H34" s="103">
        <f>'Rider Rates'!$B$56</f>
        <v>4.3837099999999997E-2</v>
      </c>
      <c r="I34" s="103"/>
      <c r="J34" s="103">
        <f>SUM(G34:I34)</f>
        <v>4.3837099999999997E-2</v>
      </c>
      <c r="K34" s="104" t="s">
        <v>42</v>
      </c>
      <c r="L34" s="105"/>
      <c r="M34" s="105">
        <f>ROUND(D34*H34,2)</f>
        <v>0</v>
      </c>
      <c r="N34" s="205"/>
      <c r="O34" s="105">
        <f t="shared" si="2"/>
        <v>0</v>
      </c>
      <c r="P34" s="245">
        <f>'Rider Rates'!$D$56</f>
        <v>45383</v>
      </c>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99" t="s">
        <v>95</v>
      </c>
      <c r="B35" s="78"/>
      <c r="C35" s="78"/>
      <c r="D35" s="100">
        <f>IF('Customer Info'!C34=TRUE,0,IF($C$14&lt;0,0,$C$14))</f>
        <v>0</v>
      </c>
      <c r="E35" s="101" t="s">
        <v>41</v>
      </c>
      <c r="F35" s="102" t="s">
        <v>8</v>
      </c>
      <c r="G35" s="103"/>
      <c r="H35" s="103"/>
      <c r="I35" s="103">
        <f>'Rider Rates'!$B$68+'Rider Rates'!$C$68</f>
        <v>0</v>
      </c>
      <c r="J35" s="103">
        <f t="shared" si="0"/>
        <v>0</v>
      </c>
      <c r="K35" s="104" t="s">
        <v>42</v>
      </c>
      <c r="L35" s="105"/>
      <c r="M35" s="105"/>
      <c r="N35" s="105">
        <f>ROUND($D$35*'Rider Rates'!$B$68,2)+ROUND($D$35*'Rider Rates'!$C$68,2)</f>
        <v>0</v>
      </c>
      <c r="O35" s="105">
        <f t="shared" ref="O35:O45" si="3">SUM(L35:N35)</f>
        <v>0</v>
      </c>
      <c r="P35" s="245">
        <f>'Rider Rates'!$D$68</f>
        <v>44531</v>
      </c>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ht="13" x14ac:dyDescent="0.3">
      <c r="A36" s="99" t="s">
        <v>80</v>
      </c>
      <c r="B36" s="78"/>
      <c r="C36" s="78"/>
      <c r="D36" s="195">
        <f>$N$21</f>
        <v>10</v>
      </c>
      <c r="E36" s="101" t="s">
        <v>121</v>
      </c>
      <c r="F36" s="102" t="s">
        <v>8</v>
      </c>
      <c r="G36" s="111"/>
      <c r="H36" s="112"/>
      <c r="I36" s="120">
        <f>'Rider Rates'!$B$84</f>
        <v>2.9347000000000002E-2</v>
      </c>
      <c r="J36" s="120">
        <f t="shared" si="0"/>
        <v>2.9347000000000002E-2</v>
      </c>
      <c r="K36" s="104"/>
      <c r="L36" s="105"/>
      <c r="M36" s="105"/>
      <c r="N36" s="105">
        <f>ROUND(D36*I36,2)</f>
        <v>0.28999999999999998</v>
      </c>
      <c r="O36" s="105">
        <f t="shared" si="3"/>
        <v>0.28999999999999998</v>
      </c>
      <c r="P36" s="245">
        <f>'Rider Rates'!$D$84</f>
        <v>45383</v>
      </c>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ht="13" x14ac:dyDescent="0.3">
      <c r="A37" s="99" t="s">
        <v>81</v>
      </c>
      <c r="B37" s="78"/>
      <c r="C37" s="78"/>
      <c r="D37" s="195">
        <f>$N$21</f>
        <v>10</v>
      </c>
      <c r="E37" s="101" t="s">
        <v>121</v>
      </c>
      <c r="F37" s="102" t="s">
        <v>8</v>
      </c>
      <c r="G37" s="114"/>
      <c r="H37" s="115"/>
      <c r="I37" s="120">
        <f>'Rider Rates'!$B$86</f>
        <v>6.6985699999999995E-2</v>
      </c>
      <c r="J37" s="120">
        <f t="shared" si="0"/>
        <v>6.6985699999999995E-2</v>
      </c>
      <c r="K37" s="104"/>
      <c r="L37" s="105"/>
      <c r="M37" s="105"/>
      <c r="N37" s="105">
        <f>ROUND(D37*I37,2)</f>
        <v>0.67</v>
      </c>
      <c r="O37" s="105">
        <f t="shared" si="3"/>
        <v>0.67</v>
      </c>
      <c r="P37" s="245">
        <f>'Rider Rates'!$D$86</f>
        <v>45167</v>
      </c>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ht="13" x14ac:dyDescent="0.3">
      <c r="A38" s="210" t="s">
        <v>216</v>
      </c>
      <c r="B38" s="78"/>
      <c r="C38" s="78"/>
      <c r="D38" s="195"/>
      <c r="E38" s="113" t="s">
        <v>114</v>
      </c>
      <c r="F38" s="106"/>
      <c r="G38" s="114"/>
      <c r="H38" s="115"/>
      <c r="I38" s="196">
        <f>'Rider Rates'!$B$89</f>
        <v>1.95</v>
      </c>
      <c r="J38" s="196">
        <f t="shared" si="0"/>
        <v>1.95</v>
      </c>
      <c r="K38" s="104"/>
      <c r="L38" s="105"/>
      <c r="M38" s="105"/>
      <c r="N38" s="105">
        <f>I38</f>
        <v>1.95</v>
      </c>
      <c r="O38" s="105">
        <f t="shared" si="3"/>
        <v>1.95</v>
      </c>
      <c r="P38" s="245">
        <f>'Rider Rates'!$D$89</f>
        <v>45259</v>
      </c>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ht="13" x14ac:dyDescent="0.3">
      <c r="A39" s="99" t="s">
        <v>157</v>
      </c>
      <c r="B39" s="78"/>
      <c r="C39" s="78"/>
      <c r="D39" s="195">
        <f>$N$21</f>
        <v>10</v>
      </c>
      <c r="E39" s="101" t="s">
        <v>121</v>
      </c>
      <c r="F39" s="102" t="s">
        <v>8</v>
      </c>
      <c r="G39" s="114"/>
      <c r="H39" s="115"/>
      <c r="I39" s="120">
        <f>'Rider Rates'!$B$104</f>
        <v>0.21398439999999999</v>
      </c>
      <c r="J39" s="120">
        <f t="shared" si="0"/>
        <v>0.21398439999999999</v>
      </c>
      <c r="K39" s="104"/>
      <c r="L39" s="105"/>
      <c r="M39" s="105"/>
      <c r="N39" s="105">
        <f>ROUND(D39*I39,2)</f>
        <v>2.14</v>
      </c>
      <c r="O39" s="105">
        <f t="shared" si="3"/>
        <v>2.14</v>
      </c>
      <c r="P39" s="245">
        <f>'Rider Rates'!$D$104</f>
        <v>45351</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ht="13" x14ac:dyDescent="0.3">
      <c r="A40" s="210" t="s">
        <v>219</v>
      </c>
      <c r="B40" s="78"/>
      <c r="C40" s="78"/>
      <c r="D40" s="195"/>
      <c r="E40" s="113" t="s">
        <v>114</v>
      </c>
      <c r="F40" s="106"/>
      <c r="G40" s="114"/>
      <c r="H40" s="115"/>
      <c r="I40" s="196">
        <f>'Rider Rates'!$B$107</f>
        <v>0</v>
      </c>
      <c r="J40" s="196">
        <f t="shared" si="0"/>
        <v>0</v>
      </c>
      <c r="K40" s="104"/>
      <c r="L40" s="105"/>
      <c r="M40" s="105"/>
      <c r="N40" s="105">
        <f>I40</f>
        <v>0</v>
      </c>
      <c r="O40" s="105">
        <f t="shared" si="3"/>
        <v>0</v>
      </c>
      <c r="P40" s="245">
        <f>'Rider Rates'!$D$107</f>
        <v>44894</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ht="13" x14ac:dyDescent="0.3">
      <c r="A41" s="210" t="s">
        <v>227</v>
      </c>
      <c r="B41" s="78"/>
      <c r="C41" s="78"/>
      <c r="D41" s="195"/>
      <c r="E41" s="113" t="s">
        <v>114</v>
      </c>
      <c r="F41" s="106"/>
      <c r="G41" s="114"/>
      <c r="H41" s="115"/>
      <c r="I41" s="260">
        <f>'Rider Rates'!B120</f>
        <v>1.26</v>
      </c>
      <c r="J41" s="196">
        <f t="shared" si="0"/>
        <v>1.26</v>
      </c>
      <c r="K41" s="104"/>
      <c r="L41" s="105"/>
      <c r="M41" s="105"/>
      <c r="N41" s="262">
        <f>I41</f>
        <v>1.26</v>
      </c>
      <c r="O41" s="105">
        <f t="shared" si="3"/>
        <v>1.26</v>
      </c>
      <c r="P41" s="245">
        <f>'Rider Rates'!D120</f>
        <v>45226</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5">
      <c r="A42" s="210" t="s">
        <v>218</v>
      </c>
      <c r="B42" s="78"/>
      <c r="C42" s="78"/>
      <c r="D42" s="100">
        <f>IF($C$14&lt;1,0,$C$14)</f>
        <v>0</v>
      </c>
      <c r="E42" s="101" t="s">
        <v>41</v>
      </c>
      <c r="F42" s="249" t="s">
        <v>8</v>
      </c>
      <c r="G42" s="103"/>
      <c r="H42" s="103"/>
      <c r="I42" s="237">
        <f>'Rider Rates'!$B$116</f>
        <v>-2.3000000000000001E-4</v>
      </c>
      <c r="J42" s="237">
        <f>SUM(G42:I42)</f>
        <v>-2.3000000000000001E-4</v>
      </c>
      <c r="K42" s="104" t="s">
        <v>42</v>
      </c>
      <c r="L42" s="105"/>
      <c r="M42" s="105"/>
      <c r="N42" s="105">
        <f>D42*J42</f>
        <v>0</v>
      </c>
      <c r="O42" s="105">
        <f t="shared" si="3"/>
        <v>0</v>
      </c>
      <c r="P42" s="245">
        <f>'Rider Rates'!D116</f>
        <v>44531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5">
      <c r="A43" s="241" t="s">
        <v>240</v>
      </c>
      <c r="B43" s="78"/>
      <c r="C43" s="78"/>
      <c r="D43" s="100"/>
      <c r="E43" s="101" t="s">
        <v>114</v>
      </c>
      <c r="F43" s="102" t="s">
        <v>8</v>
      </c>
      <c r="G43" s="265"/>
      <c r="H43" s="265"/>
      <c r="I43" s="265">
        <f>'Rider Rates'!$B$124</f>
        <v>0.1</v>
      </c>
      <c r="J43" s="265">
        <f>SUM(G43:I43)</f>
        <v>0.1</v>
      </c>
      <c r="K43" s="104"/>
      <c r="L43" s="209"/>
      <c r="M43" s="209"/>
      <c r="N43" s="209">
        <f>J43</f>
        <v>0.1</v>
      </c>
      <c r="O43" s="209">
        <f t="shared" si="3"/>
        <v>0.1</v>
      </c>
      <c r="P43" s="266">
        <f>'Rider Rates'!$E$124</f>
        <v>44927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5">
      <c r="A44" s="241" t="s">
        <v>252</v>
      </c>
      <c r="B44" s="78"/>
      <c r="C44" s="78"/>
      <c r="D44" s="100">
        <f>C14</f>
        <v>0</v>
      </c>
      <c r="E44" s="101" t="s">
        <v>41</v>
      </c>
      <c r="F44" s="249" t="s">
        <v>8</v>
      </c>
      <c r="G44" s="103"/>
      <c r="H44" s="103"/>
      <c r="I44" s="103">
        <f>'Rider Rates'!$B$129</f>
        <v>0</v>
      </c>
      <c r="J44" s="237">
        <f>SUM(G44:I44)</f>
        <v>0</v>
      </c>
      <c r="K44" s="104" t="s">
        <v>42</v>
      </c>
      <c r="L44" s="105"/>
      <c r="M44" s="105"/>
      <c r="N44" s="105">
        <f>D44*J44</f>
        <v>0</v>
      </c>
      <c r="O44" s="105">
        <f t="shared" si="3"/>
        <v>0</v>
      </c>
      <c r="P44" s="245">
        <f>'Rider Rates'!D129</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241" t="s">
        <v>251</v>
      </c>
      <c r="B45" s="78"/>
      <c r="C45" s="78"/>
      <c r="D45" s="100"/>
      <c r="E45" s="101" t="s">
        <v>114</v>
      </c>
      <c r="F45" s="102" t="s">
        <v>8</v>
      </c>
      <c r="G45" s="265"/>
      <c r="H45" s="265"/>
      <c r="I45" s="265">
        <f>'Rider Rates'!$B$136</f>
        <v>0</v>
      </c>
      <c r="J45" s="265">
        <f>SUM(G45:I45)</f>
        <v>0</v>
      </c>
      <c r="K45" s="104"/>
      <c r="L45" s="209"/>
      <c r="M45" s="209"/>
      <c r="N45" s="209">
        <f>J45</f>
        <v>0</v>
      </c>
      <c r="O45" s="209">
        <f t="shared" si="3"/>
        <v>0</v>
      </c>
      <c r="P45" s="266">
        <f>'Rider Rates'!$D$132</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5">
      <c r="A46" s="241" t="s">
        <v>253</v>
      </c>
      <c r="B46" s="78"/>
      <c r="C46" s="78"/>
      <c r="D46" s="100"/>
      <c r="E46" s="101"/>
      <c r="F46" s="102"/>
      <c r="G46" s="265"/>
      <c r="H46" s="265"/>
      <c r="I46" s="265"/>
      <c r="J46" s="265"/>
      <c r="K46" s="104"/>
      <c r="L46" s="209"/>
      <c r="M46" s="209"/>
      <c r="N46" s="209"/>
      <c r="O46" s="209"/>
      <c r="P46" s="266"/>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179" t="s">
        <v>70</v>
      </c>
      <c r="B47" s="148"/>
      <c r="C47" s="148"/>
      <c r="D47" s="180"/>
      <c r="E47" s="181"/>
      <c r="F47" s="182"/>
      <c r="G47" s="182"/>
      <c r="H47" s="182"/>
      <c r="I47" s="182"/>
      <c r="J47" s="182"/>
      <c r="K47" s="183"/>
      <c r="L47" s="169">
        <f>SUM(L25:L46)</f>
        <v>0</v>
      </c>
      <c r="M47" s="169">
        <f>SUM(M25:M46)</f>
        <v>0</v>
      </c>
      <c r="N47" s="169">
        <f>SUM(N25:N46)</f>
        <v>7.879999999999999</v>
      </c>
      <c r="O47" s="169">
        <f>SUM(O25:O46)</f>
        <v>7.879999999999999</v>
      </c>
      <c r="P47" s="184"/>
      <c r="Q47" s="106"/>
      <c r="R47" s="166"/>
      <c r="S47" s="166"/>
      <c r="T47" s="189"/>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78"/>
      <c r="B48" s="78"/>
      <c r="C48" s="78"/>
      <c r="D48" s="100"/>
      <c r="E48" s="113"/>
      <c r="F48" s="106"/>
      <c r="G48" s="106"/>
      <c r="H48" s="106"/>
      <c r="I48" s="106"/>
      <c r="J48" s="107"/>
      <c r="K48" s="104"/>
      <c r="L48" s="106"/>
      <c r="M48" s="106"/>
      <c r="N48" s="106"/>
      <c r="O48" s="106"/>
      <c r="P48" s="164"/>
      <c r="Q48" s="106"/>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ht="13" x14ac:dyDescent="0.3">
      <c r="A49" s="170"/>
      <c r="B49" s="170"/>
      <c r="C49" s="170"/>
      <c r="D49" s="170"/>
      <c r="E49" s="170"/>
      <c r="F49" s="170"/>
      <c r="G49" s="170"/>
      <c r="H49" s="170"/>
      <c r="I49" s="170"/>
      <c r="J49" s="170"/>
      <c r="K49" s="170"/>
      <c r="L49" s="186">
        <f>L21+L47</f>
        <v>0</v>
      </c>
      <c r="M49" s="186">
        <f>M21+M47</f>
        <v>0</v>
      </c>
      <c r="N49" s="186">
        <f>N21+N47</f>
        <v>17.88</v>
      </c>
      <c r="O49" s="187">
        <f>O21+O47</f>
        <v>17.88</v>
      </c>
      <c r="P49" s="187"/>
      <c r="Q49" s="106"/>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ht="13" x14ac:dyDescent="0.3">
      <c r="A50" s="78"/>
      <c r="B50" s="78"/>
      <c r="C50" s="78"/>
      <c r="D50" s="78"/>
      <c r="E50" s="78"/>
      <c r="F50" s="78"/>
      <c r="G50" s="78"/>
      <c r="H50" s="78"/>
      <c r="I50" s="78"/>
      <c r="J50" s="78"/>
      <c r="K50" s="78"/>
      <c r="L50" s="78"/>
      <c r="M50" s="78"/>
      <c r="N50" s="151"/>
      <c r="O50" s="151"/>
      <c r="P50" s="151"/>
      <c r="Q50" s="166"/>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ht="13" x14ac:dyDescent="0.3">
      <c r="A51" s="166" t="s">
        <v>92</v>
      </c>
      <c r="B51" s="78"/>
      <c r="C51" s="78"/>
      <c r="D51" s="78"/>
      <c r="E51" s="78"/>
      <c r="F51" s="78"/>
      <c r="G51" s="78"/>
      <c r="H51" s="78"/>
      <c r="I51" s="78"/>
      <c r="J51" s="78"/>
      <c r="K51" s="78"/>
      <c r="L51" s="78"/>
      <c r="M51" s="78"/>
      <c r="N51" s="78"/>
      <c r="O51" s="109">
        <f>IF($C$14&lt;=0,MIN(O19,O49), O19)</f>
        <v>10</v>
      </c>
      <c r="P51" s="151"/>
      <c r="Q51" s="166"/>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ht="13" x14ac:dyDescent="0.3">
      <c r="A52" s="78"/>
      <c r="B52" s="166"/>
      <c r="C52" s="166"/>
      <c r="D52" s="166"/>
      <c r="E52" s="166"/>
      <c r="F52" s="166"/>
      <c r="G52" s="166"/>
      <c r="H52" s="166"/>
      <c r="I52" s="78"/>
      <c r="J52" s="78"/>
      <c r="K52" s="78"/>
      <c r="L52" s="78"/>
      <c r="M52" s="78"/>
      <c r="N52" s="151"/>
      <c r="O52" s="151"/>
      <c r="P52" s="151"/>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ht="13" x14ac:dyDescent="0.3">
      <c r="A53" s="148" t="s">
        <v>116</v>
      </c>
      <c r="B53" s="151"/>
      <c r="C53" s="151"/>
      <c r="D53" s="151"/>
      <c r="E53" s="151"/>
      <c r="F53" s="151"/>
      <c r="G53" s="151"/>
      <c r="H53" s="151"/>
      <c r="I53" s="151"/>
      <c r="J53" s="151"/>
      <c r="K53" s="151"/>
      <c r="L53" s="151"/>
      <c r="M53" s="151"/>
      <c r="N53" s="151"/>
      <c r="O53" s="190">
        <f>IF($C$14&lt;0,O49,IF(O49&gt;O51,O49,I48))</f>
        <v>17.88</v>
      </c>
      <c r="P53" s="160"/>
      <c r="Q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ht="13" x14ac:dyDescent="0.3">
      <c r="A54" s="78"/>
      <c r="B54" s="151"/>
      <c r="C54" s="151"/>
      <c r="D54" s="151"/>
      <c r="E54" s="151"/>
      <c r="F54" s="151"/>
      <c r="G54" s="151"/>
      <c r="H54" s="151"/>
      <c r="I54" s="151"/>
      <c r="J54" s="151"/>
      <c r="K54" s="151"/>
      <c r="L54" s="151"/>
      <c r="M54" s="151"/>
      <c r="N54" s="151"/>
      <c r="O54" s="138"/>
      <c r="P54" s="160"/>
      <c r="Q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ht="13" x14ac:dyDescent="0.3">
      <c r="A55" s="78"/>
      <c r="B55" s="166"/>
      <c r="C55" s="166"/>
      <c r="D55" s="166"/>
      <c r="E55" s="166"/>
      <c r="F55" s="166"/>
      <c r="G55" s="166"/>
      <c r="H55" s="166"/>
      <c r="I55" s="166" t="s">
        <v>120</v>
      </c>
      <c r="J55" s="166"/>
      <c r="K55" s="166"/>
      <c r="L55" s="191"/>
      <c r="M55" s="191"/>
      <c r="N55" s="191"/>
      <c r="O55" s="191">
        <f>ROUND(IF($C$14&lt;1,0,O49/($C$14*100)*10000),2)</f>
        <v>0</v>
      </c>
      <c r="P55" s="37" t="s">
        <v>86</v>
      </c>
      <c r="Q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row>
    <row r="56" spans="1:236" ht="13" x14ac:dyDescent="0.3">
      <c r="A56" s="78"/>
      <c r="B56" s="78"/>
      <c r="C56" s="78"/>
      <c r="D56" s="78"/>
      <c r="E56" s="78"/>
      <c r="F56" s="78"/>
      <c r="G56" s="78"/>
      <c r="H56" s="192"/>
      <c r="I56" s="242" t="s">
        <v>199</v>
      </c>
      <c r="J56" s="78"/>
      <c r="K56" s="78"/>
      <c r="L56" s="78"/>
      <c r="M56" s="78"/>
      <c r="N56" s="78"/>
      <c r="O56" s="243">
        <f>ROUND(IF($C$14&lt;1,0,(L49)/($C$14*100)*10000),2)</f>
        <v>0</v>
      </c>
      <c r="P56" s="25" t="s">
        <v>86</v>
      </c>
      <c r="Q56" s="78"/>
      <c r="AE56" s="78"/>
      <c r="AF56" s="78"/>
      <c r="AG56" s="78"/>
      <c r="AH56" s="78"/>
      <c r="AI56" s="78"/>
      <c r="AJ56" s="78"/>
      <c r="AK56" s="78"/>
      <c r="AL56" s="78"/>
      <c r="AM56" s="78"/>
      <c r="AN56" s="78"/>
      <c r="AO56" s="78"/>
      <c r="AP56" s="78"/>
      <c r="AQ56" s="78"/>
      <c r="AR56" s="78"/>
      <c r="AS56" s="78"/>
      <c r="AT56" s="78"/>
      <c r="HE56" s="78"/>
      <c r="HF56" s="78"/>
      <c r="HG56" s="78"/>
      <c r="HH56" s="78"/>
      <c r="HI56" s="78"/>
      <c r="HJ56" s="78"/>
      <c r="HK56" s="78"/>
      <c r="HL56" s="78"/>
      <c r="HM56" s="78"/>
      <c r="HN56" s="78"/>
    </row>
    <row r="57" spans="1:236" x14ac:dyDescent="0.25">
      <c r="A57" s="78"/>
    </row>
    <row r="58" spans="1:236" x14ac:dyDescent="0.25">
      <c r="A58" s="78"/>
    </row>
    <row r="59" spans="1:236" x14ac:dyDescent="0.25">
      <c r="A59" s="78"/>
    </row>
    <row r="60" spans="1:236" x14ac:dyDescent="0.25">
      <c r="A60" s="78"/>
    </row>
    <row r="61" spans="1:236" x14ac:dyDescent="0.25">
      <c r="A61" s="78"/>
    </row>
    <row r="62" spans="1:236" x14ac:dyDescent="0.25">
      <c r="A62" s="78"/>
    </row>
  </sheetData>
  <sheetProtection algorithmName="SHA-512" hashValue="GYpiwwuunVAO2nlPxnN8XzBq6ZQHZmzmno5MnpjJ6eNuAFBGEalPXckztalL0P1bM3ZmutJzOlV3iKuTkSV5QA==" saltValue="HagqGnJwmvKRs6Wg+bYlmA==" spinCount="100000" sheet="1" objects="1" scenarios="1"/>
  <mergeCells count="9">
    <mergeCell ref="A11:I11"/>
    <mergeCell ref="G17:J17"/>
    <mergeCell ref="L17:O17"/>
    <mergeCell ref="A1:P1"/>
    <mergeCell ref="A2:P2"/>
    <mergeCell ref="A3:P3"/>
    <mergeCell ref="A4:P4"/>
    <mergeCell ref="B5:O5"/>
    <mergeCell ref="A6:K6"/>
  </mergeCells>
  <printOptions horizontalCentered="1"/>
  <pageMargins left="0" right="0" top="0.5" bottom="0.5" header="0.5" footer="0.5"/>
  <pageSetup scale="57"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9874" r:id="rId5" name="Button 2">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9875"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AF26-CB00-44FD-BC67-52E6ACCD0E9B}">
  <sheetPr>
    <pageSetUpPr fitToPage="1"/>
  </sheetPr>
  <dimension ref="A1:A34"/>
  <sheetViews>
    <sheetView showGridLines="0" workbookViewId="0">
      <selection activeCell="C9" sqref="C9"/>
    </sheetView>
  </sheetViews>
  <sheetFormatPr defaultColWidth="9.1796875" defaultRowHeight="10" customHeight="1" x14ac:dyDescent="0.25"/>
  <cols>
    <col min="1" max="1" width="130.54296875" style="379" customWidth="1"/>
    <col min="2" max="16384" width="9.1796875" style="313"/>
  </cols>
  <sheetData>
    <row r="1" spans="1:1" ht="34.5" x14ac:dyDescent="0.25">
      <c r="A1" s="382" t="s">
        <v>324</v>
      </c>
    </row>
    <row r="2" spans="1:1" ht="23" x14ac:dyDescent="0.25">
      <c r="A2" s="383" t="s">
        <v>323</v>
      </c>
    </row>
    <row r="3" spans="1:1" ht="10" customHeight="1" x14ac:dyDescent="0.25">
      <c r="A3" s="300"/>
    </row>
    <row r="4" spans="1:1" ht="24" customHeight="1" x14ac:dyDescent="0.25">
      <c r="A4" s="383" t="s">
        <v>322</v>
      </c>
    </row>
    <row r="5" spans="1:1" ht="10" customHeight="1" x14ac:dyDescent="0.25">
      <c r="A5" s="300"/>
    </row>
    <row r="6" spans="1:1" ht="11.5" x14ac:dyDescent="0.25">
      <c r="A6" s="382" t="s">
        <v>321</v>
      </c>
    </row>
    <row r="7" spans="1:1" ht="10" customHeight="1" x14ac:dyDescent="0.25">
      <c r="A7" s="382"/>
    </row>
    <row r="8" spans="1:1" ht="34.5" x14ac:dyDescent="0.25">
      <c r="A8" s="382" t="s">
        <v>320</v>
      </c>
    </row>
    <row r="9" spans="1:1" ht="10" customHeight="1" x14ac:dyDescent="0.25">
      <c r="A9" s="383"/>
    </row>
    <row r="10" spans="1:1" ht="36" customHeight="1" x14ac:dyDescent="0.25">
      <c r="A10" s="382" t="s">
        <v>319</v>
      </c>
    </row>
    <row r="11" spans="1:1" ht="10" customHeight="1" x14ac:dyDescent="0.25">
      <c r="A11" s="382"/>
    </row>
    <row r="12" spans="1:1" ht="38.25" customHeight="1" x14ac:dyDescent="0.25">
      <c r="A12" s="382" t="s">
        <v>318</v>
      </c>
    </row>
    <row r="13" spans="1:1" ht="10" customHeight="1" x14ac:dyDescent="0.25">
      <c r="A13" s="382"/>
    </row>
    <row r="14" spans="1:1" ht="23" x14ac:dyDescent="0.25">
      <c r="A14" s="382" t="s">
        <v>317</v>
      </c>
    </row>
    <row r="15" spans="1:1" ht="10" customHeight="1" x14ac:dyDescent="0.25">
      <c r="A15" s="382"/>
    </row>
    <row r="16" spans="1:1" ht="23" x14ac:dyDescent="0.25">
      <c r="A16" s="382" t="s">
        <v>316</v>
      </c>
    </row>
    <row r="17" spans="1:1" ht="10" customHeight="1" x14ac:dyDescent="0.25">
      <c r="A17" s="382"/>
    </row>
    <row r="18" spans="1:1" ht="39.75" customHeight="1" x14ac:dyDescent="0.25">
      <c r="A18" s="382" t="s">
        <v>315</v>
      </c>
    </row>
    <row r="19" spans="1:1" ht="10" customHeight="1" x14ac:dyDescent="0.25">
      <c r="A19" s="382"/>
    </row>
    <row r="20" spans="1:1" ht="23" x14ac:dyDescent="0.25">
      <c r="A20" s="382" t="s">
        <v>314</v>
      </c>
    </row>
    <row r="21" spans="1:1" ht="10" customHeight="1" x14ac:dyDescent="0.25">
      <c r="A21" s="382"/>
    </row>
    <row r="22" spans="1:1" ht="23" x14ac:dyDescent="0.25">
      <c r="A22" s="382" t="s">
        <v>313</v>
      </c>
    </row>
    <row r="23" spans="1:1" ht="10" customHeight="1" x14ac:dyDescent="0.25">
      <c r="A23" s="382"/>
    </row>
    <row r="24" spans="1:1" ht="23" x14ac:dyDescent="0.25">
      <c r="A24" s="382" t="s">
        <v>312</v>
      </c>
    </row>
    <row r="25" spans="1:1" ht="10" customHeight="1" x14ac:dyDescent="0.25">
      <c r="A25" s="382"/>
    </row>
    <row r="26" spans="1:1" ht="23" x14ac:dyDescent="0.25">
      <c r="A26" s="380" t="s">
        <v>311</v>
      </c>
    </row>
    <row r="27" spans="1:1" ht="11.5" x14ac:dyDescent="0.25">
      <c r="A27" s="382"/>
    </row>
    <row r="28" spans="1:1" ht="45" customHeight="1" x14ac:dyDescent="0.25">
      <c r="A28" s="382" t="s">
        <v>310</v>
      </c>
    </row>
    <row r="30" spans="1:1" ht="36" customHeight="1" x14ac:dyDescent="0.25">
      <c r="A30" s="382" t="s">
        <v>309</v>
      </c>
    </row>
    <row r="31" spans="1:1" ht="10" customHeight="1" x14ac:dyDescent="0.25">
      <c r="A31" s="381"/>
    </row>
    <row r="32" spans="1:1" ht="11.5" x14ac:dyDescent="0.25">
      <c r="A32" s="380" t="s">
        <v>308</v>
      </c>
    </row>
    <row r="34" spans="1:1" ht="11.5" x14ac:dyDescent="0.25">
      <c r="A34" s="380" t="s">
        <v>307</v>
      </c>
    </row>
  </sheetData>
  <pageMargins left="0.25" right="0.25" top="0.5" bottom="0.5" header="0.3" footer="0.3"/>
  <pageSetup scale="7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dimension ref="A1:IB61"/>
  <sheetViews>
    <sheetView showGridLines="0" topLeftCell="A18" zoomScale="80" zoomScaleNormal="80" workbookViewId="0">
      <selection activeCell="P24" sqref="P24"/>
    </sheetView>
  </sheetViews>
  <sheetFormatPr defaultRowHeight="12.5" x14ac:dyDescent="0.25"/>
  <cols>
    <col min="1" max="1" width="31" customWidth="1"/>
    <col min="2" max="2" width="2.1796875" customWidth="1"/>
    <col min="3" max="3" width="21.1796875" customWidth="1"/>
    <col min="4" max="4" width="15.26953125" customWidth="1"/>
    <col min="5" max="5" width="10.1796875" customWidth="1"/>
    <col min="6" max="6" width="5.54296875" customWidth="1"/>
    <col min="7" max="8" width="13.26953125" customWidth="1"/>
    <col min="9" max="9" width="14.54296875" customWidth="1"/>
    <col min="10" max="10" width="13.26953125" customWidth="1"/>
    <col min="11" max="11" width="7" customWidth="1"/>
    <col min="12" max="12" width="15.1796875" customWidth="1"/>
    <col min="13" max="13" width="17.26953125" bestFit="1" customWidth="1"/>
    <col min="14" max="14" width="16.7265625" customWidth="1"/>
    <col min="15" max="15" width="19.1796875" bestFit="1" customWidth="1"/>
    <col min="16" max="16" width="12.81640625" bestFit="1" customWidth="1"/>
    <col min="18" max="18" width="9.17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row>
    <row r="2" spans="1:30" ht="20" x14ac:dyDescent="0.4">
      <c r="A2" s="436" t="s">
        <v>122</v>
      </c>
      <c r="B2" s="436"/>
      <c r="C2" s="436"/>
      <c r="D2" s="436"/>
      <c r="E2" s="436"/>
      <c r="F2" s="436"/>
      <c r="G2" s="436"/>
      <c r="H2" s="436"/>
      <c r="I2" s="436"/>
      <c r="J2" s="436"/>
      <c r="K2" s="436"/>
      <c r="L2" s="436"/>
      <c r="M2" s="436"/>
      <c r="N2" s="436"/>
      <c r="O2" s="436"/>
      <c r="P2" s="436"/>
    </row>
    <row r="3" spans="1:30" ht="18" x14ac:dyDescent="0.4">
      <c r="A3" s="452" t="s">
        <v>282</v>
      </c>
      <c r="B3" s="452"/>
      <c r="C3" s="452"/>
      <c r="D3" s="452"/>
      <c r="E3" s="452"/>
      <c r="F3" s="452"/>
      <c r="G3" s="452"/>
      <c r="H3" s="452"/>
      <c r="I3" s="452"/>
      <c r="J3" s="452"/>
      <c r="K3" s="452"/>
      <c r="L3" s="452"/>
      <c r="M3" s="452"/>
      <c r="N3" s="452"/>
      <c r="O3" s="452"/>
      <c r="P3" s="452"/>
    </row>
    <row r="4" spans="1:30"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30" ht="15.5" x14ac:dyDescent="0.35">
      <c r="A5" s="75"/>
      <c r="B5" s="75"/>
      <c r="C5" s="75"/>
      <c r="D5" s="75"/>
      <c r="E5" s="75"/>
      <c r="F5" s="75"/>
      <c r="G5" s="75"/>
      <c r="H5" s="75"/>
      <c r="I5" s="75"/>
      <c r="J5" s="75"/>
      <c r="K5" s="75"/>
    </row>
    <row r="6" spans="1:30" x14ac:dyDescent="0.25">
      <c r="A6" s="76">
        <f ca="1">TODAY()</f>
        <v>45378</v>
      </c>
      <c r="B6" s="210" t="s">
        <v>280</v>
      </c>
      <c r="C6" s="76"/>
      <c r="D6" s="76"/>
      <c r="E6" s="76"/>
      <c r="F6" s="76"/>
      <c r="G6" s="76"/>
      <c r="H6" s="76"/>
      <c r="I6" s="76"/>
    </row>
    <row r="7" spans="1:30" ht="25" x14ac:dyDescent="0.5">
      <c r="A7" s="453"/>
      <c r="B7" s="453"/>
      <c r="C7" s="453"/>
      <c r="D7" s="453"/>
      <c r="E7" s="453"/>
      <c r="F7" s="453"/>
      <c r="G7" s="453"/>
      <c r="H7" s="453"/>
      <c r="I7" s="453"/>
      <c r="J7" s="453"/>
      <c r="K7" s="453"/>
      <c r="L7" s="453"/>
      <c r="M7" s="453"/>
      <c r="N7" s="453"/>
      <c r="O7" s="453"/>
      <c r="P7" s="453"/>
    </row>
    <row r="8" spans="1:30" x14ac:dyDescent="0.25">
      <c r="C8" s="18"/>
      <c r="D8" s="18"/>
      <c r="E8" s="18"/>
      <c r="F8" s="18"/>
      <c r="G8" s="18"/>
      <c r="H8" s="18"/>
      <c r="I8" s="18"/>
      <c r="J8" s="18"/>
      <c r="K8" s="18"/>
    </row>
    <row r="9" spans="1:30" ht="15.5" x14ac:dyDescent="0.35">
      <c r="A9" s="23" t="s">
        <v>2</v>
      </c>
      <c r="B9" s="24"/>
      <c r="C9" s="25">
        <f>'Customer Info'!B7</f>
        <v>0</v>
      </c>
      <c r="I9" s="26"/>
    </row>
    <row r="10" spans="1:30" ht="15.5" x14ac:dyDescent="0.35">
      <c r="A10" s="27" t="s">
        <v>26</v>
      </c>
      <c r="B10" s="24"/>
      <c r="C10" s="25">
        <f>'Customer Info'!B8</f>
        <v>0</v>
      </c>
    </row>
    <row r="11" spans="1:30" ht="13" x14ac:dyDescent="0.3">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ht="13" x14ac:dyDescent="0.3">
      <c r="A12" s="446"/>
      <c r="B12" s="446"/>
      <c r="C12" s="446"/>
      <c r="D12" s="446"/>
      <c r="E12" s="446"/>
      <c r="F12" s="446"/>
      <c r="G12" s="446"/>
      <c r="H12" s="446"/>
      <c r="I12" s="446"/>
      <c r="J12" s="92"/>
      <c r="K12" s="92"/>
      <c r="L12" s="128"/>
      <c r="M12" s="128"/>
      <c r="N12" s="128"/>
      <c r="O12" s="128"/>
      <c r="P12" s="12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ht="13" x14ac:dyDescent="0.3">
      <c r="A13" s="28" t="s">
        <v>27</v>
      </c>
      <c r="B13" s="22"/>
      <c r="C13" s="22"/>
      <c r="D13" s="22"/>
      <c r="E13" s="22"/>
      <c r="F13" s="22"/>
      <c r="G13" s="22"/>
      <c r="H13" s="22"/>
      <c r="I13" s="22"/>
      <c r="R13" s="3" t="s">
        <v>196</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5">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5">
      <c r="A15" s="31" t="s">
        <v>51</v>
      </c>
      <c r="B15" s="31"/>
      <c r="C15" s="32">
        <f>IF('Customer Info'!B21+'Customer Info'!B22-'Customer Info'!B23&lt;0,0,'Customer Info'!B21+'Customer Info'!B22-'Customer Info'!B23)</f>
        <v>0</v>
      </c>
      <c r="D15" s="31" t="s">
        <v>41</v>
      </c>
      <c r="E15" s="31"/>
      <c r="F15" s="33"/>
      <c r="G15" s="31"/>
      <c r="H15" s="31"/>
      <c r="I15" s="31"/>
      <c r="R15" s="78"/>
      <c r="S15" s="193"/>
      <c r="T15" s="193"/>
      <c r="U15" s="193"/>
      <c r="V15" s="193"/>
      <c r="W15" s="193"/>
      <c r="X15" s="193"/>
      <c r="Y15" s="193"/>
      <c r="Z15" s="193"/>
      <c r="AA15" s="193"/>
      <c r="AB15" s="193"/>
      <c r="AC15" s="193"/>
      <c r="AD15" s="193"/>
    </row>
    <row r="16" spans="1:30" ht="13" x14ac:dyDescent="0.3">
      <c r="A16" s="31"/>
      <c r="B16" s="31"/>
      <c r="C16" s="32"/>
      <c r="D16" s="31"/>
      <c r="E16" s="31"/>
      <c r="F16" s="33"/>
      <c r="G16" s="23" t="s">
        <v>15</v>
      </c>
      <c r="H16" s="31"/>
    </row>
    <row r="17" spans="1:221" ht="13" x14ac:dyDescent="0.3">
      <c r="A17" s="31"/>
      <c r="B17" s="31"/>
      <c r="C17" s="33"/>
      <c r="D17" s="33"/>
      <c r="E17" s="33"/>
      <c r="F17" s="33"/>
      <c r="G17" s="23" t="s">
        <v>15</v>
      </c>
      <c r="H17" s="31"/>
      <c r="I17" s="52" t="s">
        <v>15</v>
      </c>
    </row>
    <row r="19" spans="1:221" ht="13" x14ac:dyDescent="0.3">
      <c r="A19" s="28" t="s">
        <v>31</v>
      </c>
      <c r="B19" s="22"/>
      <c r="C19" s="22"/>
      <c r="D19" s="22"/>
      <c r="E19" s="22"/>
      <c r="F19" s="22"/>
      <c r="G19" s="447" t="s">
        <v>67</v>
      </c>
      <c r="H19" s="448"/>
      <c r="I19" s="448"/>
      <c r="J19" s="449"/>
      <c r="K19" s="22"/>
      <c r="L19" s="450" t="s">
        <v>68</v>
      </c>
      <c r="M19" s="450"/>
      <c r="N19" s="450"/>
      <c r="O19" s="450"/>
    </row>
    <row r="20" spans="1:221" ht="13" x14ac:dyDescent="0.3">
      <c r="A20" s="18"/>
      <c r="B20" s="18"/>
      <c r="C20" s="18"/>
      <c r="D20" s="18"/>
      <c r="E20" s="18"/>
      <c r="F20" s="18"/>
      <c r="G20" s="8" t="s">
        <v>64</v>
      </c>
      <c r="H20" s="8" t="s">
        <v>65</v>
      </c>
      <c r="I20" s="8" t="s">
        <v>66</v>
      </c>
      <c r="J20" s="112" t="s">
        <v>34</v>
      </c>
      <c r="K20" s="18"/>
      <c r="L20" s="131" t="s">
        <v>64</v>
      </c>
      <c r="M20" s="131" t="s">
        <v>65</v>
      </c>
      <c r="N20" s="131" t="s">
        <v>66</v>
      </c>
      <c r="O20" s="132" t="s">
        <v>34</v>
      </c>
      <c r="P20" s="43" t="s">
        <v>56</v>
      </c>
    </row>
    <row r="21" spans="1:221" x14ac:dyDescent="0.25">
      <c r="A21" t="s">
        <v>32</v>
      </c>
      <c r="G21" s="86"/>
      <c r="H21" s="86"/>
      <c r="I21" s="86">
        <v>9.4</v>
      </c>
      <c r="J21" s="86">
        <f>SUM(G21:I21)</f>
        <v>9.4</v>
      </c>
      <c r="L21" s="88"/>
      <c r="M21" s="88"/>
      <c r="N21" s="88">
        <f>I21</f>
        <v>9.4</v>
      </c>
      <c r="O21" s="209">
        <f>SUM(L21:N21)</f>
        <v>9.4</v>
      </c>
      <c r="P21" s="245">
        <v>44531</v>
      </c>
    </row>
    <row r="22" spans="1:221" x14ac:dyDescent="0.25">
      <c r="A22" t="s">
        <v>72</v>
      </c>
      <c r="D22" s="1">
        <f>MAX(MIN($C$15,1000),-1000)</f>
        <v>0</v>
      </c>
      <c r="E22" s="35" t="s">
        <v>41</v>
      </c>
      <c r="F22" s="4" t="s">
        <v>8</v>
      </c>
      <c r="G22" s="84"/>
      <c r="H22" s="84"/>
      <c r="I22" s="84">
        <v>2.30262E-2</v>
      </c>
      <c r="J22" s="84">
        <f>SUM(G22:I22)</f>
        <v>2.30262E-2</v>
      </c>
      <c r="K22" s="36" t="s">
        <v>42</v>
      </c>
      <c r="L22" s="87"/>
      <c r="M22" s="87"/>
      <c r="N22" s="87">
        <f>IF(C15&lt;0,0,ROUND($D22*I22,2))</f>
        <v>0</v>
      </c>
      <c r="O22" s="209">
        <f>SUM(L22:N22)</f>
        <v>0</v>
      </c>
      <c r="P22" s="245">
        <v>45261</v>
      </c>
    </row>
    <row r="23" spans="1:221" x14ac:dyDescent="0.25">
      <c r="A23" t="s">
        <v>73</v>
      </c>
      <c r="D23" s="1">
        <f>IF($C$15&gt;0,MAX($C$15-1000,0),MIN($C$15+1000,0))</f>
        <v>0</v>
      </c>
      <c r="E23" s="35" t="s">
        <v>41</v>
      </c>
      <c r="F23" s="4" t="s">
        <v>8</v>
      </c>
      <c r="G23" s="84"/>
      <c r="H23" s="84"/>
      <c r="I23" s="84">
        <v>2.30262E-2</v>
      </c>
      <c r="J23" s="84">
        <f>SUM(G23:I23)</f>
        <v>2.30262E-2</v>
      </c>
      <c r="K23" s="36" t="s">
        <v>42</v>
      </c>
      <c r="L23" s="87"/>
      <c r="M23" s="87"/>
      <c r="N23" s="87">
        <f>ROUND($D23*I23,2)</f>
        <v>0</v>
      </c>
      <c r="O23" s="87">
        <f>SUM(L23:N23)</f>
        <v>0</v>
      </c>
      <c r="P23" s="245">
        <v>45261</v>
      </c>
    </row>
    <row r="24" spans="1:221" ht="13" x14ac:dyDescent="0.3">
      <c r="A24" s="37" t="s">
        <v>50</v>
      </c>
      <c r="B24" s="37"/>
      <c r="C24" s="37"/>
      <c r="D24" s="38"/>
      <c r="E24" s="38"/>
      <c r="F24" s="37"/>
      <c r="G24" s="37"/>
      <c r="H24" s="37"/>
      <c r="I24" s="37"/>
      <c r="J24" s="37"/>
      <c r="K24" s="39"/>
      <c r="L24" s="40"/>
      <c r="M24" s="40"/>
      <c r="N24" s="40">
        <f>SUM(N21:N23)</f>
        <v>9.4</v>
      </c>
      <c r="O24" s="40">
        <f>SUM(O21:O23)</f>
        <v>9.4</v>
      </c>
    </row>
    <row r="25" spans="1:221" ht="13" x14ac:dyDescent="0.3">
      <c r="A25" s="89"/>
      <c r="B25" s="89"/>
      <c r="C25" s="90"/>
      <c r="D25" s="90"/>
      <c r="E25" s="90"/>
      <c r="F25" s="90"/>
      <c r="G25" s="91"/>
      <c r="H25" s="91"/>
      <c r="I25" s="91"/>
      <c r="J25" s="91"/>
      <c r="K25" s="89"/>
      <c r="L25" s="89"/>
      <c r="M25" s="89"/>
      <c r="N25" s="89"/>
      <c r="O25" s="89"/>
      <c r="P25" s="89"/>
    </row>
    <row r="26" spans="1:221" ht="13" x14ac:dyDescent="0.3">
      <c r="A26" s="148" t="s">
        <v>69</v>
      </c>
      <c r="B26" s="166"/>
      <c r="C26" s="166"/>
      <c r="D26" s="167"/>
      <c r="E26" s="167"/>
      <c r="F26" s="166"/>
      <c r="G26" s="167"/>
      <c r="H26" s="167"/>
      <c r="I26" s="167"/>
      <c r="J26" s="167"/>
      <c r="K26" s="167"/>
      <c r="L26" s="167"/>
      <c r="M26" s="167"/>
      <c r="N26" s="167"/>
      <c r="O26" s="167"/>
      <c r="P26" s="160"/>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151"/>
      <c r="B27" s="151"/>
      <c r="C27" s="151"/>
      <c r="D27" s="151"/>
      <c r="E27" s="151"/>
      <c r="F27" s="151"/>
      <c r="G27" s="151"/>
      <c r="H27" s="151"/>
      <c r="I27" s="151"/>
      <c r="J27" s="151"/>
      <c r="K27" s="151"/>
      <c r="L27" s="151"/>
      <c r="M27" s="151"/>
      <c r="N27" s="151"/>
      <c r="O27" s="151"/>
      <c r="P27" s="174"/>
      <c r="Q27" s="106"/>
      <c r="R27" s="175"/>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78</v>
      </c>
      <c r="B28" s="176"/>
      <c r="C28" s="176"/>
      <c r="D28" s="100">
        <f>IF($C$15&lt;0,0,IF($C$15&gt;833000,833000,$C$15))</f>
        <v>0</v>
      </c>
      <c r="E28" s="101" t="s">
        <v>41</v>
      </c>
      <c r="F28" s="102" t="s">
        <v>8</v>
      </c>
      <c r="G28" s="103"/>
      <c r="H28" s="103"/>
      <c r="I28" s="103">
        <f>'Rider Rates'!$B$4</f>
        <v>5.9216E-3</v>
      </c>
      <c r="J28" s="103">
        <f t="shared" ref="J28:J44" si="0">SUM(G28:I28)</f>
        <v>5.9216E-3</v>
      </c>
      <c r="K28" s="104" t="s">
        <v>42</v>
      </c>
      <c r="L28" s="105"/>
      <c r="M28" s="105"/>
      <c r="N28" s="105">
        <f t="shared" ref="N28:N33" si="1">ROUND(D28*I28,2)</f>
        <v>0</v>
      </c>
      <c r="O28" s="105">
        <f t="shared" ref="O28:O44" si="2">SUM(L28:N28)</f>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79</v>
      </c>
      <c r="B29" s="78"/>
      <c r="C29" s="78"/>
      <c r="D29" s="123">
        <f>IF($C$15&gt;833000,$C$15-833000,0)</f>
        <v>0</v>
      </c>
      <c r="E29" s="101" t="s">
        <v>41</v>
      </c>
      <c r="F29" s="102" t="s">
        <v>8</v>
      </c>
      <c r="G29" s="103"/>
      <c r="H29" s="103"/>
      <c r="I29" s="103">
        <f>'Rider Rates'!$B$5</f>
        <v>1.7560000000000001E-4</v>
      </c>
      <c r="J29" s="103">
        <f t="shared" si="0"/>
        <v>1.7560000000000001E-4</v>
      </c>
      <c r="K29" s="104" t="s">
        <v>42</v>
      </c>
      <c r="L29" s="105"/>
      <c r="M29" s="105"/>
      <c r="N29" s="105">
        <f t="shared" si="1"/>
        <v>0</v>
      </c>
      <c r="O29" s="105">
        <f t="shared" si="2"/>
        <v>0</v>
      </c>
      <c r="P29" s="245">
        <f>'Rider Rates'!$D$4</f>
        <v>45293</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99" t="s">
        <v>96</v>
      </c>
      <c r="B30" s="78"/>
      <c r="C30" s="78"/>
      <c r="D30" s="100">
        <f>IF('Customer Info'!$C$32=TRUE,0,IF($C$15&lt;0,0,IF($C$15&gt;2000,2000,$C$15)))</f>
        <v>0</v>
      </c>
      <c r="E30" s="101" t="s">
        <v>41</v>
      </c>
      <c r="F30" s="102" t="s">
        <v>8</v>
      </c>
      <c r="G30" s="103"/>
      <c r="H30" s="103"/>
      <c r="I30" s="177">
        <f>'Rider Rates'!$B$8</f>
        <v>4.6499999999999996E-3</v>
      </c>
      <c r="J30" s="177">
        <f t="shared" si="0"/>
        <v>4.6499999999999996E-3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97</v>
      </c>
      <c r="B31" s="78"/>
      <c r="C31" s="78"/>
      <c r="D31" s="100">
        <f>IF('Customer Info'!$C$32=TRUE,0,IF($C$15&lt;=2000,0,IF($C$15=0,0,IF($C$15-2000&gt;13000,13000,$C$15-2000))))</f>
        <v>0</v>
      </c>
      <c r="E31" s="101" t="s">
        <v>41</v>
      </c>
      <c r="F31" s="102" t="s">
        <v>8</v>
      </c>
      <c r="G31" s="103"/>
      <c r="H31" s="103"/>
      <c r="I31" s="177">
        <f>'Rider Rates'!$B$9</f>
        <v>4.1900000000000001E-3</v>
      </c>
      <c r="J31" s="177">
        <f t="shared" si="0"/>
        <v>4.1900000000000001E-3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99" t="s">
        <v>98</v>
      </c>
      <c r="B32" s="78"/>
      <c r="C32" s="78"/>
      <c r="D32" s="100">
        <f>IF('Customer Info'!$C$32=TRUE,0,IF($C$15=0,0,IF($C$15-15000&gt;=0,$C$15-15000,0)))</f>
        <v>0</v>
      </c>
      <c r="E32" s="101" t="s">
        <v>41</v>
      </c>
      <c r="F32" s="102" t="s">
        <v>8</v>
      </c>
      <c r="G32" s="103"/>
      <c r="H32" s="103"/>
      <c r="I32" s="177">
        <f>'Rider Rates'!$B$10</f>
        <v>3.63E-3</v>
      </c>
      <c r="J32" s="177">
        <f t="shared" si="0"/>
        <v>3.63E-3</v>
      </c>
      <c r="K32" s="104" t="s">
        <v>42</v>
      </c>
      <c r="L32" s="105"/>
      <c r="M32" s="105"/>
      <c r="N32" s="105">
        <f t="shared" si="1"/>
        <v>0</v>
      </c>
      <c r="O32" s="105">
        <f t="shared" si="2"/>
        <v>0</v>
      </c>
      <c r="P32" s="245">
        <f>'Rider Rates'!$D$7</f>
        <v>44531</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210" t="s">
        <v>160</v>
      </c>
      <c r="B33" s="78"/>
      <c r="C33" s="78"/>
      <c r="D33" s="100">
        <f>IF($C$15&lt;0,0,$C$15)</f>
        <v>0</v>
      </c>
      <c r="E33" s="101" t="s">
        <v>41</v>
      </c>
      <c r="F33" s="102" t="s">
        <v>8</v>
      </c>
      <c r="G33" s="103"/>
      <c r="H33" s="103"/>
      <c r="I33" s="103">
        <f>'Rider Rates'!$B$16</f>
        <v>0</v>
      </c>
      <c r="J33" s="103">
        <f>SUM(G33:I33)</f>
        <v>0</v>
      </c>
      <c r="K33" s="104" t="s">
        <v>42</v>
      </c>
      <c r="L33" s="105"/>
      <c r="M33" s="105"/>
      <c r="N33" s="105">
        <f t="shared" si="1"/>
        <v>0</v>
      </c>
      <c r="O33" s="105">
        <f t="shared" si="2"/>
        <v>0</v>
      </c>
      <c r="P33" s="245">
        <f>'Rider Rates'!$D$16</f>
        <v>45197</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ht="13" x14ac:dyDescent="0.3">
      <c r="A34" s="210" t="s">
        <v>247</v>
      </c>
      <c r="B34" s="78"/>
      <c r="C34" s="78"/>
      <c r="D34" s="195">
        <f>$N$24</f>
        <v>9.4</v>
      </c>
      <c r="E34" s="101" t="s">
        <v>121</v>
      </c>
      <c r="F34" s="102" t="s">
        <v>8</v>
      </c>
      <c r="G34" s="103"/>
      <c r="H34" s="103"/>
      <c r="I34" s="178">
        <f>'Rider Rates'!$B$18+'Rider Rates'!$E$18</f>
        <v>0</v>
      </c>
      <c r="J34" s="178">
        <f>SUM(G34:I34)</f>
        <v>0</v>
      </c>
      <c r="K34" s="104"/>
      <c r="L34" s="105"/>
      <c r="M34" s="105"/>
      <c r="N34" s="105">
        <f>ROUND($D$34*'Rider Rates'!$B$18,2)+ROUND($D$34*'Rider Rates'!$E$18,2)</f>
        <v>0</v>
      </c>
      <c r="O34" s="105">
        <f t="shared" si="2"/>
        <v>0</v>
      </c>
      <c r="P34" s="245">
        <f>MAX('Rider Rates'!$D$18,'Rider Rates'!$F$18)</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41" t="s">
        <v>220</v>
      </c>
      <c r="B35" s="78"/>
      <c r="C35" s="78"/>
      <c r="D35" s="100">
        <f>IF($C$15&lt;0,0,IF($C$15&gt;833000,833000,$C$15))</f>
        <v>0</v>
      </c>
      <c r="E35" s="101" t="s">
        <v>41</v>
      </c>
      <c r="F35" s="102" t="s">
        <v>8</v>
      </c>
      <c r="G35" s="103"/>
      <c r="H35" s="103"/>
      <c r="I35" s="103">
        <f>'Rider Rates'!D50</f>
        <v>1.7826999999999999E-3</v>
      </c>
      <c r="J35" s="103">
        <f>SUM(G35:I35)</f>
        <v>1.7826999999999999E-3</v>
      </c>
      <c r="K35" s="104" t="s">
        <v>42</v>
      </c>
      <c r="L35" s="105"/>
      <c r="M35" s="105"/>
      <c r="N35" s="105">
        <f>D35*J35</f>
        <v>0</v>
      </c>
      <c r="O35" s="105">
        <f t="shared" si="2"/>
        <v>0</v>
      </c>
      <c r="P35" s="245">
        <f>'Rider Rates'!E50</f>
        <v>45292</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198</v>
      </c>
      <c r="B36" s="78"/>
      <c r="C36" s="78"/>
      <c r="D36" s="100">
        <f>IF($C$15&lt;0,0,$C$15)</f>
        <v>0</v>
      </c>
      <c r="E36" s="113" t="s">
        <v>41</v>
      </c>
      <c r="F36" s="102" t="s">
        <v>8</v>
      </c>
      <c r="G36" s="103"/>
      <c r="H36" s="103">
        <f>'Rider Rates'!$B$57</f>
        <v>2.3467399999999999E-2</v>
      </c>
      <c r="I36" s="103"/>
      <c r="J36" s="103">
        <f>SUM(G36:I36)</f>
        <v>2.3467399999999999E-2</v>
      </c>
      <c r="K36" s="104" t="s">
        <v>42</v>
      </c>
      <c r="L36" s="105"/>
      <c r="M36" s="105">
        <f>ROUND(D36*H36,2)</f>
        <v>0</v>
      </c>
      <c r="N36" s="205"/>
      <c r="O36" s="105">
        <f t="shared" si="2"/>
        <v>0</v>
      </c>
      <c r="P36" s="245">
        <f>'Rider Rates'!$D$57</f>
        <v>45383</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99" t="s">
        <v>95</v>
      </c>
      <c r="B37" s="78"/>
      <c r="C37" s="78"/>
      <c r="D37" s="100">
        <f>IF('Customer Info'!C34=TRUE,0,IF($C$15&lt;0,0,$C$15))</f>
        <v>0</v>
      </c>
      <c r="E37" s="101" t="s">
        <v>41</v>
      </c>
      <c r="F37" s="102" t="s">
        <v>8</v>
      </c>
      <c r="G37" s="103"/>
      <c r="H37" s="103"/>
      <c r="I37" s="103">
        <f>'Rider Rates'!$B$69+'Rider Rates'!$C$69</f>
        <v>0</v>
      </c>
      <c r="J37" s="103">
        <f t="shared" si="0"/>
        <v>0</v>
      </c>
      <c r="K37" s="104" t="s">
        <v>42</v>
      </c>
      <c r="L37" s="105"/>
      <c r="M37" s="105"/>
      <c r="N37" s="105">
        <f>ROUND($D$37*'Rider Rates'!$B$69,2)+ROUND($D$37*'Rider Rates'!$C$69,2)</f>
        <v>0</v>
      </c>
      <c r="O37" s="105">
        <f t="shared" si="2"/>
        <v>0</v>
      </c>
      <c r="P37" s="245">
        <f>'Rider Rates'!$D$69</f>
        <v>44531</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99" t="s">
        <v>95</v>
      </c>
      <c r="B38" s="78"/>
      <c r="C38" s="78"/>
      <c r="D38" s="100"/>
      <c r="E38" s="101" t="s">
        <v>114</v>
      </c>
      <c r="F38" s="102"/>
      <c r="G38" s="103"/>
      <c r="H38" s="103"/>
      <c r="I38" s="196">
        <f>'Rider Rates'!$B$76</f>
        <v>0</v>
      </c>
      <c r="J38" s="196">
        <f>IF('Customer Info'!C34=TRUE,0,SUM(G38:I38))</f>
        <v>0</v>
      </c>
      <c r="K38" s="104"/>
      <c r="L38" s="105"/>
      <c r="M38" s="105"/>
      <c r="N38" s="105">
        <f>J38</f>
        <v>0</v>
      </c>
      <c r="O38" s="105">
        <f>SUM(L38:N38)</f>
        <v>0</v>
      </c>
      <c r="P38" s="245">
        <f>'Rider Rates'!$D$76</f>
        <v>44531</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ht="13" x14ac:dyDescent="0.3">
      <c r="A39" s="99" t="s">
        <v>80</v>
      </c>
      <c r="B39" s="78"/>
      <c r="C39" s="78"/>
      <c r="D39" s="195">
        <f>$N$24</f>
        <v>9.4</v>
      </c>
      <c r="E39" s="101" t="s">
        <v>121</v>
      </c>
      <c r="F39" s="102" t="s">
        <v>8</v>
      </c>
      <c r="G39" s="111"/>
      <c r="H39" s="112"/>
      <c r="I39" s="120">
        <f>'Rider Rates'!$B$84</f>
        <v>2.9347000000000002E-2</v>
      </c>
      <c r="J39" s="120">
        <f t="shared" si="0"/>
        <v>2.9347000000000002E-2</v>
      </c>
      <c r="K39" s="104"/>
      <c r="L39" s="105"/>
      <c r="M39" s="105"/>
      <c r="N39" s="105">
        <f>ROUND(D39*I39,2)</f>
        <v>0.28000000000000003</v>
      </c>
      <c r="O39" s="105">
        <f t="shared" si="2"/>
        <v>0.28000000000000003</v>
      </c>
      <c r="P39" s="245">
        <f>'Rider Rates'!$D$84</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ht="13" x14ac:dyDescent="0.3">
      <c r="A40" s="99" t="s">
        <v>81</v>
      </c>
      <c r="B40" s="78"/>
      <c r="C40" s="78"/>
      <c r="D40" s="195">
        <f>$N$24</f>
        <v>9.4</v>
      </c>
      <c r="E40" s="101" t="s">
        <v>121</v>
      </c>
      <c r="F40" s="102" t="s">
        <v>8</v>
      </c>
      <c r="G40" s="114"/>
      <c r="H40" s="115"/>
      <c r="I40" s="120">
        <f>'Rider Rates'!$B$86</f>
        <v>6.6985699999999995E-2</v>
      </c>
      <c r="J40" s="120">
        <f t="shared" si="0"/>
        <v>6.6985699999999995E-2</v>
      </c>
      <c r="K40" s="104"/>
      <c r="L40" s="105"/>
      <c r="M40" s="105"/>
      <c r="N40" s="105">
        <f>ROUND(D40*I40,2)</f>
        <v>0.63</v>
      </c>
      <c r="O40" s="105">
        <f t="shared" si="2"/>
        <v>0.63</v>
      </c>
      <c r="P40" s="245">
        <f>'Rider Rates'!$D$86</f>
        <v>45167</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ht="13" x14ac:dyDescent="0.3">
      <c r="A41" s="210" t="s">
        <v>216</v>
      </c>
      <c r="B41" s="78"/>
      <c r="C41" s="78"/>
      <c r="D41" s="195"/>
      <c r="E41" s="113" t="s">
        <v>114</v>
      </c>
      <c r="F41" s="106"/>
      <c r="G41" s="114"/>
      <c r="H41" s="115"/>
      <c r="I41" s="196">
        <f>'Rider Rates'!$B$90</f>
        <v>15.91</v>
      </c>
      <c r="J41" s="196">
        <f t="shared" si="0"/>
        <v>15.91</v>
      </c>
      <c r="K41" s="104"/>
      <c r="L41" s="105"/>
      <c r="M41" s="105"/>
      <c r="N41" s="105">
        <f>I41</f>
        <v>15.91</v>
      </c>
      <c r="O41" s="105">
        <f t="shared" si="2"/>
        <v>15.91</v>
      </c>
      <c r="P41" s="245">
        <f>'Rider Rates'!$D$90</f>
        <v>45351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ht="13" x14ac:dyDescent="0.3">
      <c r="A42" s="99" t="s">
        <v>157</v>
      </c>
      <c r="B42" s="78"/>
      <c r="C42" s="78"/>
      <c r="D42" s="195">
        <f>$N$24</f>
        <v>9.4</v>
      </c>
      <c r="E42" s="101" t="s">
        <v>121</v>
      </c>
      <c r="F42" s="102" t="s">
        <v>8</v>
      </c>
      <c r="G42" s="114"/>
      <c r="H42" s="115"/>
      <c r="I42" s="120">
        <f>'Rider Rates'!$B$104</f>
        <v>0.21398439999999999</v>
      </c>
      <c r="J42" s="120">
        <f t="shared" si="0"/>
        <v>0.21398439999999999</v>
      </c>
      <c r="K42" s="104"/>
      <c r="L42" s="105"/>
      <c r="M42" s="105"/>
      <c r="N42" s="105">
        <f>ROUND(D42*I42,2)</f>
        <v>2.0099999999999998</v>
      </c>
      <c r="O42" s="105">
        <f t="shared" si="2"/>
        <v>2.0099999999999998</v>
      </c>
      <c r="P42" s="245">
        <f>'Rider Rates'!$D$104</f>
        <v>45351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210" t="s">
        <v>219</v>
      </c>
      <c r="B43" s="78"/>
      <c r="C43" s="78"/>
      <c r="D43" s="195"/>
      <c r="E43" s="113" t="s">
        <v>114</v>
      </c>
      <c r="F43" s="106"/>
      <c r="G43" s="114"/>
      <c r="H43" s="115"/>
      <c r="I43" s="196">
        <f>'Rider Rates'!$B$108</f>
        <v>0</v>
      </c>
      <c r="J43" s="196">
        <f t="shared" si="0"/>
        <v>0</v>
      </c>
      <c r="K43" s="104"/>
      <c r="L43" s="105"/>
      <c r="M43" s="105"/>
      <c r="N43" s="105">
        <f>I43</f>
        <v>0</v>
      </c>
      <c r="O43" s="105">
        <f t="shared" si="2"/>
        <v>0</v>
      </c>
      <c r="P43" s="245">
        <f>'Rider Rates'!$D$108</f>
        <v>44894</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227</v>
      </c>
      <c r="B44" s="78"/>
      <c r="C44" s="78"/>
      <c r="D44" s="195"/>
      <c r="E44" s="113" t="s">
        <v>114</v>
      </c>
      <c r="F44" s="106"/>
      <c r="G44" s="114"/>
      <c r="H44" s="115"/>
      <c r="I44" s="260">
        <f>'Rider Rates'!B121</f>
        <v>5.83</v>
      </c>
      <c r="J44" s="196">
        <f t="shared" si="0"/>
        <v>5.83</v>
      </c>
      <c r="K44" s="104"/>
      <c r="L44" s="105"/>
      <c r="M44" s="105"/>
      <c r="N44" s="262">
        <f>I44</f>
        <v>5.83</v>
      </c>
      <c r="O44" s="105">
        <f t="shared" si="2"/>
        <v>5.83</v>
      </c>
      <c r="P44" s="245">
        <f>'Rider Rates'!D121</f>
        <v>45226</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210" t="s">
        <v>218</v>
      </c>
      <c r="B45" s="78"/>
      <c r="C45" s="78"/>
      <c r="D45" s="100">
        <f>IF($C$15&lt;1,0,$C$15)</f>
        <v>0</v>
      </c>
      <c r="E45" s="101" t="s">
        <v>41</v>
      </c>
      <c r="F45" s="249" t="s">
        <v>8</v>
      </c>
      <c r="G45" s="165"/>
      <c r="H45" s="165"/>
      <c r="I45" s="251">
        <f>'Rider Rates'!B117</f>
        <v>-6.2E-4</v>
      </c>
      <c r="J45" s="251">
        <f>SUM(G45:I45)</f>
        <v>-6.2E-4</v>
      </c>
      <c r="K45" s="104" t="s">
        <v>42</v>
      </c>
      <c r="L45" s="105"/>
      <c r="M45" s="105"/>
      <c r="N45" s="105">
        <f>D45*J45</f>
        <v>0</v>
      </c>
      <c r="O45" s="105">
        <f>SUM(L45:N45)</f>
        <v>0</v>
      </c>
      <c r="P45" s="245">
        <f>'Rider Rates'!D117</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5">
      <c r="A46" s="78" t="s">
        <v>243</v>
      </c>
      <c r="B46" s="78"/>
      <c r="C46" s="78"/>
      <c r="D46" s="100">
        <f>IF(C15&lt;0,0,IF(C15&gt;833000,833000,C15))</f>
        <v>0</v>
      </c>
      <c r="E46" s="101" t="s">
        <v>41</v>
      </c>
      <c r="F46" s="102" t="s">
        <v>8</v>
      </c>
      <c r="G46" s="267"/>
      <c r="H46" s="267"/>
      <c r="I46" s="267">
        <f>'Rider Rates'!B125</f>
        <v>2.9050000000000001E-4</v>
      </c>
      <c r="J46" s="267">
        <f>SUM(G46:I46)</f>
        <v>2.9050000000000001E-4</v>
      </c>
      <c r="K46" s="104" t="s">
        <v>42</v>
      </c>
      <c r="L46" s="268"/>
      <c r="M46" s="268"/>
      <c r="N46" s="268">
        <f>IF(D46*J46&gt;'Rider Rates'!$C$125,'Rider Rates'!$C$125,D46*J46)</f>
        <v>0</v>
      </c>
      <c r="O46" s="268">
        <f>SUM(L46:N46)</f>
        <v>0</v>
      </c>
      <c r="P46" s="266">
        <f>'Rider Rates'!$E$125</f>
        <v>45292</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5">
      <c r="A47" s="78" t="s">
        <v>244</v>
      </c>
      <c r="B47" s="78"/>
      <c r="C47" s="78"/>
      <c r="D47" s="123">
        <f>IF(C15&gt;833000,C15-833000,0)</f>
        <v>0</v>
      </c>
      <c r="E47" s="101" t="s">
        <v>41</v>
      </c>
      <c r="F47" s="102" t="s">
        <v>8</v>
      </c>
      <c r="G47" s="267"/>
      <c r="H47" s="267"/>
      <c r="I47" s="267">
        <f>'Rider Rates'!B126</f>
        <v>0</v>
      </c>
      <c r="J47" s="267">
        <f>SUM(G47:I47)</f>
        <v>0</v>
      </c>
      <c r="K47" s="104" t="s">
        <v>42</v>
      </c>
      <c r="L47" s="268"/>
      <c r="M47" s="268"/>
      <c r="N47" s="268">
        <f>D47*J47</f>
        <v>0</v>
      </c>
      <c r="O47" s="268">
        <f>SUM(L47:N47)</f>
        <v>0</v>
      </c>
      <c r="P47" s="266">
        <f>'Rider Rates'!$E$126</f>
        <v>44927</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41" t="s">
        <v>252</v>
      </c>
      <c r="B48" s="78"/>
      <c r="C48" s="78"/>
      <c r="D48" s="100">
        <f>C15</f>
        <v>0</v>
      </c>
      <c r="E48" s="101" t="s">
        <v>41</v>
      </c>
      <c r="F48" s="249" t="s">
        <v>8</v>
      </c>
      <c r="G48" s="103"/>
      <c r="H48" s="103"/>
      <c r="I48" s="103">
        <f>'Rider Rates'!$B$130</f>
        <v>0</v>
      </c>
      <c r="J48" s="237">
        <f>SUM(G48:I48)</f>
        <v>0</v>
      </c>
      <c r="K48" s="104" t="s">
        <v>42</v>
      </c>
      <c r="L48" s="105"/>
      <c r="M48" s="105"/>
      <c r="N48" s="105">
        <f>D48*J48</f>
        <v>0</v>
      </c>
      <c r="O48" s="105">
        <f>SUM(L48:N48)</f>
        <v>0</v>
      </c>
      <c r="P48" s="245">
        <f>'Rider Rates'!$D$130</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241" t="s">
        <v>251</v>
      </c>
      <c r="B49" s="78"/>
      <c r="C49" s="78"/>
      <c r="D49" s="100"/>
      <c r="E49" s="101" t="s">
        <v>114</v>
      </c>
      <c r="F49" s="102" t="s">
        <v>8</v>
      </c>
      <c r="G49" s="265"/>
      <c r="H49" s="265"/>
      <c r="I49" s="265">
        <f>'Rider Rates'!$B$137</f>
        <v>0</v>
      </c>
      <c r="J49" s="265">
        <f>SUM(G49:I49)</f>
        <v>0</v>
      </c>
      <c r="K49" s="104"/>
      <c r="L49" s="209"/>
      <c r="M49" s="209"/>
      <c r="N49" s="209">
        <f>J49</f>
        <v>0</v>
      </c>
      <c r="O49" s="209">
        <f>SUM(L49:N49)</f>
        <v>0</v>
      </c>
      <c r="P49" s="266">
        <f>'Rider Rates'!D137</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241" t="s">
        <v>253</v>
      </c>
      <c r="B50" s="78"/>
      <c r="C50" s="78"/>
      <c r="D50" s="100"/>
      <c r="E50" s="101"/>
      <c r="F50" s="102"/>
      <c r="G50" s="265"/>
      <c r="H50" s="265"/>
      <c r="I50" s="265"/>
      <c r="J50" s="265"/>
      <c r="K50" s="104"/>
      <c r="L50" s="209"/>
      <c r="M50" s="209"/>
      <c r="N50" s="209"/>
      <c r="O50" s="209"/>
      <c r="P50" s="266"/>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ht="13" x14ac:dyDescent="0.3">
      <c r="A51" s="179" t="s">
        <v>70</v>
      </c>
      <c r="B51" s="148"/>
      <c r="C51" s="148"/>
      <c r="D51" s="180"/>
      <c r="E51" s="181"/>
      <c r="F51" s="182"/>
      <c r="G51" s="182"/>
      <c r="H51" s="182"/>
      <c r="I51" s="182"/>
      <c r="J51" s="182"/>
      <c r="K51" s="183"/>
      <c r="L51" s="169">
        <f>SUM(L28:L50)</f>
        <v>0</v>
      </c>
      <c r="M51" s="169">
        <f>SUM(M28:M50)</f>
        <v>0</v>
      </c>
      <c r="N51" s="169">
        <f>SUM(N28:N50)</f>
        <v>24.659999999999997</v>
      </c>
      <c r="O51" s="169">
        <f>SUM(O28:O50)</f>
        <v>24.659999999999997</v>
      </c>
      <c r="P51" s="184"/>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5">
      <c r="A52" s="78"/>
      <c r="B52" s="78"/>
      <c r="C52" s="78"/>
      <c r="D52" s="100"/>
      <c r="E52" s="113"/>
      <c r="F52" s="106"/>
      <c r="G52" s="106"/>
      <c r="H52" s="106"/>
      <c r="I52" s="106"/>
      <c r="J52" s="107"/>
      <c r="K52" s="104"/>
      <c r="L52" s="106"/>
      <c r="M52" s="106"/>
      <c r="N52" s="106"/>
      <c r="O52" s="106"/>
      <c r="P52" s="164"/>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ht="13" x14ac:dyDescent="0.3">
      <c r="A53" s="185" t="s">
        <v>93</v>
      </c>
      <c r="B53" s="170"/>
      <c r="C53" s="170"/>
      <c r="D53" s="170"/>
      <c r="E53" s="170"/>
      <c r="F53" s="170"/>
      <c r="G53" s="170"/>
      <c r="H53" s="170"/>
      <c r="I53" s="170"/>
      <c r="J53" s="170"/>
      <c r="K53" s="170"/>
      <c r="L53" s="186">
        <f>L24+L51</f>
        <v>0</v>
      </c>
      <c r="M53" s="186">
        <f>M24+M51</f>
        <v>0</v>
      </c>
      <c r="N53" s="186">
        <f>N24+N51</f>
        <v>34.059999999999995</v>
      </c>
      <c r="O53" s="187">
        <f>O24+O51</f>
        <v>34.059999999999995</v>
      </c>
      <c r="P53" s="187"/>
      <c r="Q53" s="106"/>
      <c r="R53" s="188"/>
      <c r="S53" s="108"/>
      <c r="T53" s="109"/>
      <c r="U53" s="78"/>
      <c r="V53" s="10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ht="13" x14ac:dyDescent="0.3">
      <c r="A54" s="78"/>
      <c r="B54" s="78"/>
      <c r="C54" s="78"/>
      <c r="D54" s="78"/>
      <c r="E54" s="78"/>
      <c r="F54" s="78"/>
      <c r="G54" s="78"/>
      <c r="H54" s="78"/>
      <c r="I54" s="78"/>
      <c r="J54" s="78"/>
      <c r="K54" s="78"/>
      <c r="L54" s="78"/>
      <c r="M54" s="78"/>
      <c r="N54" s="151"/>
      <c r="O54" s="151"/>
      <c r="P54" s="151"/>
      <c r="Q54" s="166"/>
      <c r="R54" s="166"/>
      <c r="S54" s="166"/>
      <c r="T54" s="189"/>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ht="13" x14ac:dyDescent="0.3">
      <c r="A55" s="78"/>
      <c r="B55" s="78"/>
      <c r="C55" s="78"/>
      <c r="D55" s="78"/>
      <c r="E55" s="78"/>
      <c r="F55" s="78"/>
      <c r="G55" s="78"/>
      <c r="H55" s="78"/>
      <c r="I55" s="78"/>
      <c r="J55" s="78"/>
      <c r="K55" s="78"/>
      <c r="L55" s="78"/>
      <c r="M55" s="78"/>
      <c r="N55" s="151"/>
      <c r="O55" s="151"/>
      <c r="P55" s="151"/>
      <c r="Q55" s="166"/>
      <c r="R55" s="166"/>
      <c r="S55" s="166"/>
      <c r="T55" s="189"/>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ht="13" x14ac:dyDescent="0.3">
      <c r="A56" s="166" t="s">
        <v>92</v>
      </c>
      <c r="B56" s="78"/>
      <c r="C56" s="78"/>
      <c r="D56" s="78"/>
      <c r="E56" s="78"/>
      <c r="F56" s="78"/>
      <c r="G56" s="78"/>
      <c r="H56" s="78"/>
      <c r="I56" s="78"/>
      <c r="J56" s="78"/>
      <c r="K56" s="78"/>
      <c r="L56" s="78"/>
      <c r="M56" s="78"/>
      <c r="N56" s="78"/>
      <c r="O56" s="109">
        <f>O21+O51</f>
        <v>34.059999999999995</v>
      </c>
      <c r="P56" s="151"/>
      <c r="Q56" s="166"/>
      <c r="R56" s="166"/>
      <c r="S56" s="166"/>
      <c r="T56" s="189"/>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ht="13" x14ac:dyDescent="0.3">
      <c r="A57" s="166" t="s">
        <v>15</v>
      </c>
      <c r="B57" s="166"/>
      <c r="C57" s="166"/>
      <c r="D57" s="166"/>
      <c r="E57" s="166"/>
      <c r="F57" s="166"/>
      <c r="G57" s="166"/>
      <c r="H57" s="166"/>
      <c r="I57" s="78"/>
      <c r="J57" s="78"/>
      <c r="K57" s="78"/>
      <c r="L57" s="78"/>
      <c r="M57" s="78"/>
      <c r="N57" s="151"/>
      <c r="O57" s="151"/>
      <c r="P57" s="151"/>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148" t="s">
        <v>116</v>
      </c>
      <c r="B58" s="151"/>
      <c r="C58" s="151"/>
      <c r="D58" s="151"/>
      <c r="E58" s="151"/>
      <c r="F58" s="151"/>
      <c r="G58" s="151"/>
      <c r="H58" s="151"/>
      <c r="I58" s="151"/>
      <c r="J58" s="151"/>
      <c r="K58" s="151"/>
      <c r="L58" s="151"/>
      <c r="M58" s="151"/>
      <c r="N58" s="151"/>
      <c r="O58" s="190">
        <f>IF($D$17&lt;0,O53,IF(O53&gt;O56,O53,O56))</f>
        <v>34.059999999999995</v>
      </c>
      <c r="P58" s="160"/>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5" customHeight="1" x14ac:dyDescent="0.3">
      <c r="A59" s="148"/>
      <c r="B59" s="151"/>
      <c r="C59" s="151"/>
      <c r="D59" s="151"/>
      <c r="E59" s="151"/>
      <c r="F59" s="151"/>
      <c r="G59" s="151"/>
      <c r="H59" s="151"/>
      <c r="I59" s="151"/>
      <c r="J59" s="151"/>
      <c r="K59" s="151"/>
      <c r="L59" s="151"/>
      <c r="M59" s="151"/>
      <c r="N59" s="151"/>
      <c r="O59" s="190"/>
      <c r="P59" s="160"/>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row>
    <row r="60" spans="1:236" ht="13" x14ac:dyDescent="0.3">
      <c r="A60" s="148"/>
      <c r="B60" s="166"/>
      <c r="C60" s="166"/>
      <c r="D60" s="166"/>
      <c r="E60" s="166"/>
      <c r="F60" s="166"/>
      <c r="G60" s="166"/>
      <c r="H60" s="166"/>
      <c r="I60" s="166" t="s">
        <v>120</v>
      </c>
      <c r="J60" s="166"/>
      <c r="K60" s="166"/>
      <c r="L60" s="191"/>
      <c r="M60" s="191"/>
      <c r="N60" s="191"/>
      <c r="O60" s="191">
        <f>ROUND(IF($C$15&lt;1,0,O53/($C$15*100)*10000),2)</f>
        <v>0</v>
      </c>
      <c r="P60" s="37" t="s">
        <v>86</v>
      </c>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HE60" s="78"/>
      <c r="HF60" s="78"/>
      <c r="HG60" s="78"/>
      <c r="HH60" s="78"/>
      <c r="HI60" s="78"/>
      <c r="HJ60" s="78"/>
      <c r="HK60" s="78"/>
      <c r="HL60" s="78"/>
      <c r="HM60" s="78"/>
      <c r="HN60" s="78"/>
    </row>
    <row r="61" spans="1:236" ht="13" x14ac:dyDescent="0.3">
      <c r="B61" s="78"/>
      <c r="C61" s="78"/>
      <c r="D61" s="78"/>
      <c r="E61" s="78"/>
      <c r="F61" s="78"/>
      <c r="G61" s="78"/>
      <c r="H61" s="192"/>
      <c r="I61" s="242" t="s">
        <v>199</v>
      </c>
      <c r="J61" s="78"/>
      <c r="K61" s="78"/>
      <c r="L61" s="78"/>
      <c r="M61" s="78"/>
      <c r="N61" s="78"/>
      <c r="O61" s="243">
        <f>ROUND(IF($C$15&lt;1,0,(L53)/($C$15*100)*10000),2)</f>
        <v>0</v>
      </c>
      <c r="P61" s="25" t="s">
        <v>86</v>
      </c>
      <c r="Q61" s="78"/>
      <c r="R61" s="78"/>
      <c r="S61" s="78"/>
      <c r="T61" s="78"/>
      <c r="U61" s="78"/>
      <c r="V61" s="78"/>
      <c r="W61" s="78"/>
      <c r="X61" s="78"/>
      <c r="Y61" s="78"/>
      <c r="Z61" s="78"/>
      <c r="AA61" s="78"/>
      <c r="AB61" s="78"/>
      <c r="AC61" s="78"/>
      <c r="AD61" s="78"/>
      <c r="AE61" s="78"/>
      <c r="AF61" s="78"/>
      <c r="AG61" s="78"/>
      <c r="AH61" s="78"/>
      <c r="AI61" s="78"/>
      <c r="AJ61" s="78"/>
      <c r="AK61" s="78"/>
    </row>
  </sheetData>
  <sheetProtection algorithmName="SHA-512" hashValue="fum5o4SDrX8fNcjNCjHLasEYxlr4gVfFj0qIV3RVP4VuR2XOQ/Xu+Rso+ofhvYwTaluzEwEphBeQe+dwZ1cjzQ==" saltValue="uHlhYOV02UbYVrikz+mSuw=="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Button 1">
              <controlPr defaultSize="0" print="0" autoFill="0" autoPict="0" macro="[0]!Info">
                <anchor moveWithCells="1">
                  <from>
                    <xdr:col>0</xdr:col>
                    <xdr:colOff>38100</xdr:colOff>
                    <xdr:row>0</xdr:row>
                    <xdr:rowOff>31750</xdr:rowOff>
                  </from>
                  <to>
                    <xdr:col>0</xdr:col>
                    <xdr:colOff>381000</xdr:colOff>
                    <xdr:row>0</xdr:row>
                    <xdr:rowOff>165100</xdr:rowOff>
                  </to>
                </anchor>
              </controlPr>
            </control>
          </mc:Choice>
        </mc:AlternateContent>
        <mc:AlternateContent xmlns:mc="http://schemas.openxmlformats.org/markup-compatibility/2006">
          <mc:Choice Requires="x14">
            <control shapeId="80898" r:id="rId5" name="Button 2">
              <controlPr defaultSize="0" print="0" autoFill="0" autoPict="0" macro="[0]!Info">
                <anchor moveWithCells="1">
                  <from>
                    <xdr:col>15</xdr:col>
                    <xdr:colOff>190500</xdr:colOff>
                    <xdr:row>68</xdr:row>
                    <xdr:rowOff>50800</xdr:rowOff>
                  </from>
                  <to>
                    <xdr:col>15</xdr:col>
                    <xdr:colOff>546100</xdr:colOff>
                    <xdr:row>69</xdr:row>
                    <xdr:rowOff>107950</xdr:rowOff>
                  </to>
                </anchor>
              </controlPr>
            </control>
          </mc:Choice>
        </mc:AlternateContent>
        <mc:AlternateContent xmlns:mc="http://schemas.openxmlformats.org/markup-compatibility/2006">
          <mc:Choice Requires="x14">
            <control shapeId="80899" r:id="rId6" name="Button 3">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80900" r:id="rId7" name="Button 4">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80901" r:id="rId8" name="Button 5">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80902" r:id="rId9" name="Button 6">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4D4EF-C824-4618-B7C6-265296DA30BF}">
  <dimension ref="A1:IB66"/>
  <sheetViews>
    <sheetView showGridLines="0" topLeftCell="A23" zoomScale="80" zoomScaleNormal="80" workbookViewId="0">
      <selection activeCell="J46" sqref="J46"/>
    </sheetView>
  </sheetViews>
  <sheetFormatPr defaultRowHeight="12.5" x14ac:dyDescent="0.25"/>
  <cols>
    <col min="1" max="1" width="31" customWidth="1"/>
    <col min="2" max="2" width="2.1796875" customWidth="1"/>
    <col min="3" max="3" width="21.1796875" customWidth="1"/>
    <col min="4" max="4" width="15.26953125" customWidth="1"/>
    <col min="5" max="5" width="10.1796875" customWidth="1"/>
    <col min="6" max="6" width="5.54296875" customWidth="1"/>
    <col min="7" max="8" width="13.26953125" customWidth="1"/>
    <col min="9" max="9" width="14.54296875" customWidth="1"/>
    <col min="10" max="10" width="13.26953125" customWidth="1"/>
    <col min="11" max="11" width="7" customWidth="1"/>
    <col min="12" max="12" width="15.1796875" customWidth="1"/>
    <col min="13" max="13" width="17.26953125" bestFit="1" customWidth="1"/>
    <col min="14" max="14" width="16.7265625" customWidth="1"/>
    <col min="15" max="15" width="19.1796875" bestFit="1" customWidth="1"/>
    <col min="16" max="16" width="12.81640625" bestFit="1" customWidth="1"/>
    <col min="18" max="18" width="9.17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row>
    <row r="2" spans="1:30" ht="20" x14ac:dyDescent="0.4">
      <c r="A2" s="436" t="s">
        <v>122</v>
      </c>
      <c r="B2" s="436"/>
      <c r="C2" s="436"/>
      <c r="D2" s="436"/>
      <c r="E2" s="436"/>
      <c r="F2" s="436"/>
      <c r="G2" s="436"/>
      <c r="H2" s="436"/>
      <c r="I2" s="436"/>
      <c r="J2" s="436"/>
      <c r="K2" s="436"/>
      <c r="L2" s="436"/>
      <c r="M2" s="436"/>
      <c r="N2" s="436"/>
      <c r="O2" s="436"/>
      <c r="P2" s="436"/>
    </row>
    <row r="3" spans="1:30" ht="18" x14ac:dyDescent="0.4">
      <c r="A3" s="452" t="s">
        <v>83</v>
      </c>
      <c r="B3" s="452"/>
      <c r="C3" s="452"/>
      <c r="D3" s="452"/>
      <c r="E3" s="452"/>
      <c r="F3" s="452"/>
      <c r="G3" s="452"/>
      <c r="H3" s="452"/>
      <c r="I3" s="452"/>
      <c r="J3" s="452"/>
      <c r="K3" s="452"/>
      <c r="L3" s="452"/>
      <c r="M3" s="452"/>
      <c r="N3" s="452"/>
      <c r="O3" s="452"/>
      <c r="P3" s="452"/>
    </row>
    <row r="4" spans="1:30"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30" ht="15.5" x14ac:dyDescent="0.35">
      <c r="A5" s="75"/>
      <c r="B5" s="75"/>
      <c r="C5" s="75"/>
      <c r="D5" s="75"/>
      <c r="E5" s="75"/>
      <c r="F5" s="75"/>
      <c r="G5" s="75"/>
      <c r="H5" s="75"/>
      <c r="I5" s="75"/>
      <c r="J5" s="75"/>
      <c r="K5" s="75"/>
    </row>
    <row r="6" spans="1:30" x14ac:dyDescent="0.25">
      <c r="A6" s="414">
        <f ca="1">TODAY()</f>
        <v>45378</v>
      </c>
      <c r="B6" s="210" t="s">
        <v>239</v>
      </c>
      <c r="C6" s="414"/>
      <c r="D6" s="414"/>
      <c r="E6" s="414"/>
      <c r="F6" s="414"/>
      <c r="G6" s="414"/>
      <c r="H6" s="414"/>
      <c r="I6" s="414"/>
    </row>
    <row r="7" spans="1:30" ht="25" x14ac:dyDescent="0.5">
      <c r="A7" s="453"/>
      <c r="B7" s="453"/>
      <c r="C7" s="453"/>
      <c r="D7" s="453"/>
      <c r="E7" s="453"/>
      <c r="F7" s="453"/>
      <c r="G7" s="453"/>
      <c r="H7" s="453"/>
      <c r="I7" s="453"/>
      <c r="J7" s="453"/>
      <c r="K7" s="453"/>
      <c r="L7" s="453"/>
      <c r="M7" s="453"/>
      <c r="N7" s="453"/>
      <c r="O7" s="453"/>
      <c r="P7" s="453"/>
    </row>
    <row r="8" spans="1:30" x14ac:dyDescent="0.25">
      <c r="C8" s="18"/>
      <c r="D8" s="18"/>
      <c r="E8" s="18"/>
      <c r="F8" s="18"/>
      <c r="G8" s="18"/>
      <c r="H8" s="18"/>
      <c r="I8" s="18"/>
      <c r="J8" s="18"/>
      <c r="K8" s="18"/>
    </row>
    <row r="9" spans="1:30" ht="15.5" x14ac:dyDescent="0.35">
      <c r="A9" s="23" t="s">
        <v>2</v>
      </c>
      <c r="B9" s="24"/>
      <c r="C9" s="25">
        <f>'Customer Info'!B7</f>
        <v>0</v>
      </c>
      <c r="I9" s="26"/>
    </row>
    <row r="10" spans="1:30" ht="15.5" x14ac:dyDescent="0.35">
      <c r="A10" s="27" t="s">
        <v>26</v>
      </c>
      <c r="B10" s="24"/>
      <c r="C10" s="25">
        <f>'Customer Info'!B8</f>
        <v>0</v>
      </c>
    </row>
    <row r="11" spans="1:30" ht="13" x14ac:dyDescent="0.3">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ht="13" x14ac:dyDescent="0.3">
      <c r="A12" s="446"/>
      <c r="B12" s="446"/>
      <c r="C12" s="446"/>
      <c r="D12" s="446"/>
      <c r="E12" s="446"/>
      <c r="F12" s="446"/>
      <c r="G12" s="446"/>
      <c r="H12" s="446"/>
      <c r="I12" s="446"/>
      <c r="J12" s="92"/>
      <c r="K12" s="92"/>
      <c r="L12" s="128"/>
      <c r="M12" s="128"/>
      <c r="N12" s="128"/>
      <c r="O12" s="128"/>
      <c r="P12" s="12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ht="13" x14ac:dyDescent="0.3">
      <c r="A13" s="28" t="s">
        <v>27</v>
      </c>
      <c r="B13" s="22"/>
      <c r="C13" s="22"/>
      <c r="D13" s="22"/>
      <c r="E13" s="22"/>
      <c r="F13" s="22"/>
      <c r="G13" s="22"/>
      <c r="H13" s="22"/>
      <c r="I13" s="22"/>
      <c r="R13" s="3" t="s">
        <v>196</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5">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5">
      <c r="A15" s="31" t="s">
        <v>51</v>
      </c>
      <c r="B15" s="31"/>
      <c r="C15" s="32">
        <f>IF('Customer Info'!B21+'Customer Info'!B22-'Customer Info'!B23&lt;0,0,'Customer Info'!B21+'Customer Info'!B22-'Customer Info'!B23)</f>
        <v>0</v>
      </c>
      <c r="D15" s="31" t="s">
        <v>41</v>
      </c>
      <c r="E15" s="31"/>
      <c r="F15" s="33"/>
      <c r="G15" s="31"/>
      <c r="H15" s="31"/>
      <c r="I15" s="31"/>
      <c r="R15" s="78"/>
      <c r="S15" s="193"/>
      <c r="T15" s="193"/>
      <c r="U15" s="193"/>
      <c r="V15" s="193"/>
      <c r="W15" s="193"/>
      <c r="X15" s="193"/>
      <c r="Y15" s="193"/>
      <c r="Z15" s="193"/>
      <c r="AA15" s="193"/>
      <c r="AB15" s="193"/>
      <c r="AC15" s="193"/>
      <c r="AD15" s="193"/>
    </row>
    <row r="16" spans="1:30" ht="13" x14ac:dyDescent="0.3">
      <c r="A16" s="31" t="s">
        <v>235</v>
      </c>
      <c r="B16" s="31"/>
      <c r="C16" s="32">
        <f>'Customer Info'!B21</f>
        <v>0</v>
      </c>
      <c r="D16" s="31" t="s">
        <v>41</v>
      </c>
      <c r="E16" s="31"/>
      <c r="F16" s="33"/>
      <c r="G16" s="23" t="s">
        <v>15</v>
      </c>
      <c r="H16" s="31"/>
    </row>
    <row r="17" spans="1:221" ht="13" x14ac:dyDescent="0.3">
      <c r="A17" s="31" t="s">
        <v>236</v>
      </c>
      <c r="B17" s="31"/>
      <c r="C17" s="32">
        <f>'Customer Info'!B22</f>
        <v>0</v>
      </c>
      <c r="D17" s="264" t="s">
        <v>41</v>
      </c>
      <c r="E17" s="33"/>
      <c r="F17" s="33"/>
      <c r="G17" s="23" t="s">
        <v>15</v>
      </c>
      <c r="H17" s="31"/>
      <c r="I17" s="52" t="s">
        <v>15</v>
      </c>
    </row>
    <row r="19" spans="1:221" ht="13" x14ac:dyDescent="0.3">
      <c r="A19" s="28" t="s">
        <v>31</v>
      </c>
      <c r="B19" s="22"/>
      <c r="C19" s="22"/>
      <c r="D19" s="22"/>
      <c r="E19" s="22"/>
      <c r="F19" s="22"/>
      <c r="G19" s="447" t="s">
        <v>67</v>
      </c>
      <c r="H19" s="448"/>
      <c r="I19" s="448"/>
      <c r="J19" s="449"/>
      <c r="K19" s="22"/>
      <c r="L19" s="450" t="s">
        <v>68</v>
      </c>
      <c r="M19" s="450"/>
      <c r="N19" s="450"/>
      <c r="O19" s="450"/>
    </row>
    <row r="20" spans="1:221" ht="13" x14ac:dyDescent="0.3">
      <c r="A20" s="18"/>
      <c r="B20" s="18"/>
      <c r="C20" s="18"/>
      <c r="D20" s="18"/>
      <c r="E20" s="18"/>
      <c r="F20" s="18"/>
      <c r="G20" s="8" t="s">
        <v>64</v>
      </c>
      <c r="H20" s="8" t="s">
        <v>65</v>
      </c>
      <c r="I20" s="8" t="s">
        <v>66</v>
      </c>
      <c r="J20" s="112" t="s">
        <v>34</v>
      </c>
      <c r="K20" s="18"/>
      <c r="L20" s="415" t="s">
        <v>64</v>
      </c>
      <c r="M20" s="415" t="s">
        <v>65</v>
      </c>
      <c r="N20" s="415" t="s">
        <v>66</v>
      </c>
      <c r="O20" s="132" t="s">
        <v>34</v>
      </c>
      <c r="P20" s="43" t="s">
        <v>56</v>
      </c>
    </row>
    <row r="21" spans="1:221" x14ac:dyDescent="0.25">
      <c r="A21" t="s">
        <v>32</v>
      </c>
      <c r="G21" s="86"/>
      <c r="H21" s="86"/>
      <c r="I21" s="86">
        <v>9.4</v>
      </c>
      <c r="J21" s="86">
        <f>SUM(G21:I21)</f>
        <v>9.4</v>
      </c>
      <c r="L21" s="88"/>
      <c r="M21" s="88"/>
      <c r="N21" s="88">
        <f>I21</f>
        <v>9.4</v>
      </c>
      <c r="O21" s="209">
        <f>SUM(L21:N21)</f>
        <v>9.4</v>
      </c>
      <c r="P21" s="245">
        <v>44531</v>
      </c>
    </row>
    <row r="22" spans="1:221" x14ac:dyDescent="0.25">
      <c r="A22" s="3" t="s">
        <v>304</v>
      </c>
      <c r="D22" s="1">
        <f>C15</f>
        <v>0</v>
      </c>
      <c r="E22" s="35" t="s">
        <v>41</v>
      </c>
      <c r="F22" s="4" t="s">
        <v>8</v>
      </c>
      <c r="G22" s="84"/>
      <c r="H22" s="84"/>
      <c r="I22" s="84">
        <v>2.05802E-2</v>
      </c>
      <c r="J22" s="84">
        <f>SUM(G22:I22)</f>
        <v>2.05802E-2</v>
      </c>
      <c r="K22" s="36" t="s">
        <v>42</v>
      </c>
      <c r="L22" s="87"/>
      <c r="M22" s="87"/>
      <c r="N22" s="87">
        <f>IF(C15&lt;0,0,ROUND($D22*I22,2))</f>
        <v>0</v>
      </c>
      <c r="O22" s="209">
        <f>SUM(L22:N22)</f>
        <v>0</v>
      </c>
      <c r="P22" s="245">
        <v>44531</v>
      </c>
    </row>
    <row r="23" spans="1:221" ht="13" x14ac:dyDescent="0.3">
      <c r="A23" s="37" t="s">
        <v>50</v>
      </c>
      <c r="B23" s="37"/>
      <c r="C23" s="37"/>
      <c r="D23" s="38"/>
      <c r="E23" s="38"/>
      <c r="F23" s="37"/>
      <c r="G23" s="37"/>
      <c r="H23" s="37"/>
      <c r="I23" s="37"/>
      <c r="J23" s="37"/>
      <c r="K23" s="39"/>
      <c r="L23" s="40"/>
      <c r="M23" s="40"/>
      <c r="N23" s="40">
        <f>SUM(N21:N22)</f>
        <v>9.4</v>
      </c>
      <c r="O23" s="40">
        <f>SUM(O21:O22)</f>
        <v>9.4</v>
      </c>
    </row>
    <row r="24" spans="1:221" ht="13" x14ac:dyDescent="0.3">
      <c r="A24" s="89"/>
      <c r="B24" s="89"/>
      <c r="C24" s="90"/>
      <c r="D24" s="90"/>
      <c r="E24" s="90"/>
      <c r="F24" s="90"/>
      <c r="G24" s="91"/>
      <c r="H24" s="91"/>
      <c r="I24" s="91"/>
      <c r="J24" s="91"/>
      <c r="K24" s="89"/>
      <c r="L24" s="89"/>
      <c r="M24" s="89"/>
      <c r="N24" s="89"/>
      <c r="O24" s="89"/>
      <c r="P24" s="89"/>
    </row>
    <row r="25" spans="1:221" ht="13" x14ac:dyDescent="0.3">
      <c r="A25" s="148" t="s">
        <v>69</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78</v>
      </c>
      <c r="B27" s="176"/>
      <c r="C27" s="176"/>
      <c r="D27" s="100">
        <f>IF($C$15&lt;0,0,IF($C$15&gt;833000,833000,$C$15))</f>
        <v>0</v>
      </c>
      <c r="E27" s="101" t="s">
        <v>41</v>
      </c>
      <c r="F27" s="102" t="s">
        <v>8</v>
      </c>
      <c r="G27" s="103"/>
      <c r="H27" s="103"/>
      <c r="I27" s="103">
        <f>'Rider Rates'!$B$4</f>
        <v>5.9216E-3</v>
      </c>
      <c r="J27" s="103">
        <f t="shared" ref="J27:J48" si="0">SUM(G27:I27)</f>
        <v>5.9216E-3</v>
      </c>
      <c r="K27" s="104" t="s">
        <v>42</v>
      </c>
      <c r="L27" s="105"/>
      <c r="M27" s="105"/>
      <c r="N27" s="105">
        <f t="shared" ref="N27:N32" si="1">ROUND(D27*I27,2)</f>
        <v>0</v>
      </c>
      <c r="O27" s="105">
        <f t="shared" ref="O27:O49" si="2">SUM(L27:N27)</f>
        <v>0</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79</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96</v>
      </c>
      <c r="B29" s="78"/>
      <c r="C29" s="78"/>
      <c r="D29" s="100">
        <f>IF('Customer Info'!$C$32=TRUE,0,IF($C$15&lt;0,0,IF($C$15&gt;2000,2000,$C$15)))</f>
        <v>0</v>
      </c>
      <c r="E29" s="101" t="s">
        <v>41</v>
      </c>
      <c r="F29" s="102" t="s">
        <v>8</v>
      </c>
      <c r="G29" s="103"/>
      <c r="H29" s="103"/>
      <c r="I29" s="177">
        <f>'Rider Rates'!$B$8</f>
        <v>4.6499999999999996E-3</v>
      </c>
      <c r="J29" s="177">
        <f t="shared" si="0"/>
        <v>4.6499999999999996E-3</v>
      </c>
      <c r="K29" s="104" t="s">
        <v>42</v>
      </c>
      <c r="L29" s="105"/>
      <c r="M29" s="105"/>
      <c r="N29" s="105">
        <f t="shared" si="1"/>
        <v>0</v>
      </c>
      <c r="O29" s="105">
        <f t="shared" si="2"/>
        <v>0</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99" t="s">
        <v>97</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98</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10" t="s">
        <v>160</v>
      </c>
      <c r="B32" s="78"/>
      <c r="C32" s="78"/>
      <c r="D32" s="100">
        <f>IF($C$15&lt;0,0,$C$15)</f>
        <v>0</v>
      </c>
      <c r="E32" s="101" t="s">
        <v>41</v>
      </c>
      <c r="F32" s="102" t="s">
        <v>8</v>
      </c>
      <c r="G32" s="103"/>
      <c r="H32" s="103"/>
      <c r="I32" s="103">
        <f>'Rider Rates'!$B$16</f>
        <v>0</v>
      </c>
      <c r="J32" s="103">
        <f>SUM(G32:I32)</f>
        <v>0</v>
      </c>
      <c r="K32" s="104" t="s">
        <v>42</v>
      </c>
      <c r="L32" s="105"/>
      <c r="M32" s="105"/>
      <c r="N32" s="105">
        <f t="shared" si="1"/>
        <v>0</v>
      </c>
      <c r="O32" s="105">
        <f t="shared" si="2"/>
        <v>0</v>
      </c>
      <c r="P32" s="245">
        <f>'Rider Rates'!$D$16</f>
        <v>45197</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ht="13" x14ac:dyDescent="0.3">
      <c r="A33" s="210" t="s">
        <v>247</v>
      </c>
      <c r="B33" s="78"/>
      <c r="C33" s="78"/>
      <c r="D33" s="195">
        <f>$N$23</f>
        <v>9.4</v>
      </c>
      <c r="E33" s="101" t="s">
        <v>121</v>
      </c>
      <c r="F33" s="102" t="s">
        <v>8</v>
      </c>
      <c r="G33" s="103"/>
      <c r="H33" s="103"/>
      <c r="I33" s="178">
        <f>'Rider Rates'!$B$18+'Rider Rates'!$E$18</f>
        <v>0</v>
      </c>
      <c r="J33" s="178">
        <f>SUM(G33:I33)</f>
        <v>0</v>
      </c>
      <c r="K33" s="104"/>
      <c r="L33" s="105"/>
      <c r="M33" s="105"/>
      <c r="N33" s="105">
        <f>ROUND($D$33*'Rider Rates'!$B$18,2)+ROUND($D$33*'Rider Rates'!$E$18,2)</f>
        <v>0</v>
      </c>
      <c r="O33" s="105">
        <f t="shared" si="2"/>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10" t="s">
        <v>195</v>
      </c>
      <c r="B34" s="78"/>
      <c r="C34" s="78"/>
      <c r="D34" s="100">
        <f>C16+C17</f>
        <v>0</v>
      </c>
      <c r="E34" s="101" t="s">
        <v>41</v>
      </c>
      <c r="F34" s="102" t="s">
        <v>8</v>
      </c>
      <c r="G34" s="103"/>
      <c r="H34" s="103"/>
      <c r="I34" s="103"/>
      <c r="J34" s="237">
        <f>SUM(G34:H34)</f>
        <v>0</v>
      </c>
      <c r="K34" s="104" t="s">
        <v>42</v>
      </c>
      <c r="L34" s="105"/>
      <c r="M34" s="105"/>
      <c r="N34" s="105"/>
      <c r="O34" s="105">
        <f t="shared" si="2"/>
        <v>0</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10" t="s">
        <v>165</v>
      </c>
      <c r="B35" s="78"/>
      <c r="C35" s="78"/>
      <c r="D35" s="100">
        <f>C16</f>
        <v>0</v>
      </c>
      <c r="E35" s="101" t="s">
        <v>41</v>
      </c>
      <c r="F35" s="102" t="s">
        <v>8</v>
      </c>
      <c r="G35" s="103"/>
      <c r="H35" s="103"/>
      <c r="I35" s="103"/>
      <c r="J35" s="237">
        <f>SUM(G35:H35)</f>
        <v>0</v>
      </c>
      <c r="K35" s="104" t="s">
        <v>42</v>
      </c>
      <c r="L35" s="105"/>
      <c r="M35" s="105"/>
      <c r="N35" s="105"/>
      <c r="O35" s="105">
        <f t="shared" si="2"/>
        <v>0</v>
      </c>
      <c r="P35" s="245">
        <f>'Rider Rates'!$D$38</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229</v>
      </c>
      <c r="B36" s="78"/>
      <c r="C36" s="78"/>
      <c r="D36" s="100">
        <f>C17</f>
        <v>0</v>
      </c>
      <c r="E36" s="101" t="s">
        <v>41</v>
      </c>
      <c r="F36" s="249" t="s">
        <v>8</v>
      </c>
      <c r="G36" s="103"/>
      <c r="H36" s="103"/>
      <c r="I36" s="103"/>
      <c r="J36" s="237">
        <f>SUM(G36:H36)</f>
        <v>0</v>
      </c>
      <c r="K36" s="104" t="s">
        <v>42</v>
      </c>
      <c r="L36" s="105"/>
      <c r="M36" s="105"/>
      <c r="N36" s="105"/>
      <c r="O36" s="105">
        <f t="shared" si="2"/>
        <v>0</v>
      </c>
      <c r="P36" s="245">
        <f>'Rider Rates'!D39</f>
        <v>45078</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10" t="s">
        <v>202</v>
      </c>
      <c r="B37" s="78"/>
      <c r="C37" s="78"/>
      <c r="D37" s="100">
        <f>C16+C17</f>
        <v>0</v>
      </c>
      <c r="E37" s="101" t="s">
        <v>41</v>
      </c>
      <c r="F37" s="102" t="s">
        <v>8</v>
      </c>
      <c r="G37" s="103"/>
      <c r="H37" s="103"/>
      <c r="I37" s="103"/>
      <c r="J37" s="237">
        <f>SUM(G37:H37)</f>
        <v>0</v>
      </c>
      <c r="K37" s="104" t="s">
        <v>42</v>
      </c>
      <c r="L37" s="105"/>
      <c r="M37" s="105"/>
      <c r="N37" s="105"/>
      <c r="O37" s="105">
        <f t="shared" si="2"/>
        <v>0</v>
      </c>
      <c r="P37" s="245">
        <f>'Rider Rates'!$D$46</f>
        <v>45383</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241" t="s">
        <v>220</v>
      </c>
      <c r="B38" s="78"/>
      <c r="C38" s="78"/>
      <c r="D38" s="100">
        <f>IF($C$15&lt;0,0,IF($C$15&gt;833000,833000,$C$15))</f>
        <v>0</v>
      </c>
      <c r="E38" s="101" t="s">
        <v>41</v>
      </c>
      <c r="F38" s="102" t="s">
        <v>8</v>
      </c>
      <c r="G38" s="103"/>
      <c r="H38" s="103"/>
      <c r="I38" s="103">
        <f>'Rider Rates'!D50</f>
        <v>1.7826999999999999E-3</v>
      </c>
      <c r="J38" s="103">
        <f>SUM(G38:I38)</f>
        <v>1.7826999999999999E-3</v>
      </c>
      <c r="K38" s="104" t="s">
        <v>42</v>
      </c>
      <c r="L38" s="105"/>
      <c r="M38" s="105"/>
      <c r="N38" s="105">
        <f>D38*J38</f>
        <v>0</v>
      </c>
      <c r="O38" s="105">
        <f t="shared" si="2"/>
        <v>0</v>
      </c>
      <c r="P38" s="245">
        <f>'Rider Rates'!E50</f>
        <v>45292</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210" t="s">
        <v>198</v>
      </c>
      <c r="B39" s="78"/>
      <c r="C39" s="78"/>
      <c r="D39" s="100">
        <f>IF($C$15&lt;0,0,$C$15)</f>
        <v>0</v>
      </c>
      <c r="E39" s="113" t="s">
        <v>41</v>
      </c>
      <c r="F39" s="102" t="s">
        <v>8</v>
      </c>
      <c r="G39" s="103"/>
      <c r="H39" s="103">
        <f>'Rider Rates'!$B$57</f>
        <v>2.3467399999999999E-2</v>
      </c>
      <c r="I39" s="103"/>
      <c r="J39" s="103">
        <f>SUM(G39:I39)</f>
        <v>2.3467399999999999E-2</v>
      </c>
      <c r="K39" s="104" t="s">
        <v>42</v>
      </c>
      <c r="L39" s="105"/>
      <c r="M39" s="105">
        <f>ROUND(D39*H39,2)</f>
        <v>0</v>
      </c>
      <c r="N39" s="205"/>
      <c r="O39" s="105">
        <f t="shared" si="2"/>
        <v>0</v>
      </c>
      <c r="P39" s="245">
        <f>'Rider Rates'!$D$57</f>
        <v>45383</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99" t="s">
        <v>95</v>
      </c>
      <c r="B40" s="78"/>
      <c r="C40" s="78"/>
      <c r="D40" s="100">
        <f>IF('Customer Info'!C34=TRUE,0,IF($C$15&lt;0,0,$C$15))</f>
        <v>0</v>
      </c>
      <c r="E40" s="101" t="s">
        <v>41</v>
      </c>
      <c r="F40" s="102" t="s">
        <v>8</v>
      </c>
      <c r="G40" s="103"/>
      <c r="H40" s="103"/>
      <c r="I40" s="103">
        <f>'Rider Rates'!$B$69+'Rider Rates'!$C$69</f>
        <v>0</v>
      </c>
      <c r="J40" s="103">
        <f t="shared" si="0"/>
        <v>0</v>
      </c>
      <c r="K40" s="104" t="s">
        <v>42</v>
      </c>
      <c r="L40" s="105"/>
      <c r="M40" s="105"/>
      <c r="N40" s="105">
        <f>ROUND($D$40*'Rider Rates'!$B$69,2)+ROUND($D$40*'Rider Rates'!$C$69,2)</f>
        <v>0</v>
      </c>
      <c r="O40" s="105">
        <f t="shared" si="2"/>
        <v>0</v>
      </c>
      <c r="P40" s="245">
        <f>'Rider Rates'!$D$69</f>
        <v>44531</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99" t="s">
        <v>95</v>
      </c>
      <c r="B41" s="78"/>
      <c r="C41" s="78"/>
      <c r="D41" s="100"/>
      <c r="E41" s="101" t="s">
        <v>114</v>
      </c>
      <c r="F41" s="102"/>
      <c r="G41" s="103"/>
      <c r="H41" s="103"/>
      <c r="I41" s="196">
        <f>'Rider Rates'!$B$76</f>
        <v>0</v>
      </c>
      <c r="J41" s="196">
        <f>IF('Customer Info'!C34=TRUE,0,SUM(G41:I41))</f>
        <v>0</v>
      </c>
      <c r="K41" s="104"/>
      <c r="L41" s="105"/>
      <c r="M41" s="105"/>
      <c r="N41" s="105">
        <f>J41</f>
        <v>0</v>
      </c>
      <c r="O41" s="105">
        <f>SUM(L41:N41)</f>
        <v>0</v>
      </c>
      <c r="P41" s="245">
        <v>44531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ht="13" x14ac:dyDescent="0.3">
      <c r="A42" s="99" t="s">
        <v>80</v>
      </c>
      <c r="B42" s="78"/>
      <c r="C42" s="78"/>
      <c r="D42" s="195">
        <f>$N$23</f>
        <v>9.4</v>
      </c>
      <c r="E42" s="101" t="s">
        <v>121</v>
      </c>
      <c r="F42" s="102" t="s">
        <v>8</v>
      </c>
      <c r="G42" s="111"/>
      <c r="H42" s="112"/>
      <c r="I42" s="120">
        <f>'Rider Rates'!$B$84</f>
        <v>2.9347000000000002E-2</v>
      </c>
      <c r="J42" s="120">
        <f t="shared" si="0"/>
        <v>2.9347000000000002E-2</v>
      </c>
      <c r="K42" s="104"/>
      <c r="L42" s="105"/>
      <c r="M42" s="105"/>
      <c r="N42" s="105">
        <f>ROUND(D42*I42,2)</f>
        <v>0.28000000000000003</v>
      </c>
      <c r="O42" s="105">
        <f t="shared" si="2"/>
        <v>0.28000000000000003</v>
      </c>
      <c r="P42" s="245">
        <f>'Rider Rates'!$D$84</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99" t="s">
        <v>81</v>
      </c>
      <c r="B43" s="78"/>
      <c r="C43" s="78"/>
      <c r="D43" s="195">
        <f>$N$23</f>
        <v>9.4</v>
      </c>
      <c r="E43" s="101" t="s">
        <v>121</v>
      </c>
      <c r="F43" s="102" t="s">
        <v>8</v>
      </c>
      <c r="G43" s="114"/>
      <c r="H43" s="115"/>
      <c r="I43" s="120">
        <f>'Rider Rates'!$B$86</f>
        <v>6.6985699999999995E-2</v>
      </c>
      <c r="J43" s="120">
        <f t="shared" si="0"/>
        <v>6.6985699999999995E-2</v>
      </c>
      <c r="K43" s="104"/>
      <c r="L43" s="105"/>
      <c r="M43" s="105"/>
      <c r="N43" s="105">
        <f>ROUND(D43*I43,2)</f>
        <v>0.63</v>
      </c>
      <c r="O43" s="105">
        <f t="shared" si="2"/>
        <v>0.63</v>
      </c>
      <c r="P43" s="245">
        <f>'Rider Rates'!$D$86</f>
        <v>45167</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216</v>
      </c>
      <c r="B44" s="78"/>
      <c r="C44" s="78"/>
      <c r="D44" s="195"/>
      <c r="E44" s="113" t="s">
        <v>114</v>
      </c>
      <c r="F44" s="106"/>
      <c r="G44" s="114"/>
      <c r="H44" s="115"/>
      <c r="I44" s="196">
        <f>'Rider Rates'!$B$90</f>
        <v>15.91</v>
      </c>
      <c r="J44" s="196">
        <f t="shared" si="0"/>
        <v>15.91</v>
      </c>
      <c r="K44" s="104"/>
      <c r="L44" s="105"/>
      <c r="M44" s="105"/>
      <c r="N44" s="105">
        <f>I44</f>
        <v>15.91</v>
      </c>
      <c r="O44" s="105">
        <f t="shared" si="2"/>
        <v>15.91</v>
      </c>
      <c r="P44" s="245">
        <f>'Rider Rates'!$D$90</f>
        <v>45351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210" t="s">
        <v>249</v>
      </c>
      <c r="B45" s="78"/>
      <c r="C45" s="78"/>
      <c r="D45" s="100">
        <f>IF($C$15&lt;0,0,$C$15)</f>
        <v>0</v>
      </c>
      <c r="E45" s="101" t="s">
        <v>41</v>
      </c>
      <c r="F45" s="102" t="s">
        <v>8</v>
      </c>
      <c r="G45" s="103"/>
      <c r="H45" s="103"/>
      <c r="I45" s="103"/>
      <c r="J45" s="103">
        <f>'Rider Rates'!$B$94</f>
        <v>0</v>
      </c>
      <c r="K45" s="104" t="s">
        <v>42</v>
      </c>
      <c r="L45" s="105"/>
      <c r="M45" s="105"/>
      <c r="N45" s="105"/>
      <c r="O45" s="105">
        <f>ROUND($D45*('Rider Rates'!B$94),2)</f>
        <v>0</v>
      </c>
      <c r="P45" s="245">
        <f>'Rider Rates'!$D$94</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99" t="s">
        <v>157</v>
      </c>
      <c r="B46" s="78"/>
      <c r="C46" s="78"/>
      <c r="D46" s="195">
        <f>$N$23</f>
        <v>9.4</v>
      </c>
      <c r="E46" s="101" t="s">
        <v>121</v>
      </c>
      <c r="F46" s="102" t="s">
        <v>8</v>
      </c>
      <c r="G46" s="114"/>
      <c r="H46" s="115"/>
      <c r="I46" s="120">
        <f>'Rider Rates'!$B$104</f>
        <v>0.21398439999999999</v>
      </c>
      <c r="J46" s="120">
        <f t="shared" si="0"/>
        <v>0.21398439999999999</v>
      </c>
      <c r="K46" s="104"/>
      <c r="L46" s="105"/>
      <c r="M46" s="105"/>
      <c r="N46" s="105">
        <f>ROUND(D46*I46,2)</f>
        <v>2.0099999999999998</v>
      </c>
      <c r="O46" s="105">
        <f t="shared" si="2"/>
        <v>2.0099999999999998</v>
      </c>
      <c r="P46" s="245">
        <f>'Rider Rates'!$D$104</f>
        <v>45351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219</v>
      </c>
      <c r="B47" s="78"/>
      <c r="C47" s="78"/>
      <c r="D47" s="195"/>
      <c r="E47" s="113" t="s">
        <v>114</v>
      </c>
      <c r="F47" s="106"/>
      <c r="G47" s="114"/>
      <c r="H47" s="115"/>
      <c r="I47" s="196">
        <f>'Rider Rates'!$B$108</f>
        <v>0</v>
      </c>
      <c r="J47" s="196">
        <f t="shared" si="0"/>
        <v>0</v>
      </c>
      <c r="K47" s="104"/>
      <c r="L47" s="105"/>
      <c r="M47" s="105"/>
      <c r="N47" s="105">
        <f>I47</f>
        <v>0</v>
      </c>
      <c r="O47" s="105">
        <f t="shared" si="2"/>
        <v>0</v>
      </c>
      <c r="P47" s="245">
        <f>'Rider Rates'!$D$108</f>
        <v>44894</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ht="13" x14ac:dyDescent="0.3">
      <c r="A48" s="210" t="s">
        <v>227</v>
      </c>
      <c r="B48" s="78"/>
      <c r="C48" s="78"/>
      <c r="D48" s="195"/>
      <c r="E48" s="113" t="s">
        <v>114</v>
      </c>
      <c r="F48" s="106"/>
      <c r="G48" s="114"/>
      <c r="H48" s="115"/>
      <c r="I48" s="260">
        <f>'Rider Rates'!B121</f>
        <v>5.83</v>
      </c>
      <c r="J48" s="196">
        <f t="shared" si="0"/>
        <v>5.83</v>
      </c>
      <c r="K48" s="104"/>
      <c r="L48" s="105"/>
      <c r="M48" s="105"/>
      <c r="N48" s="262">
        <f>I48</f>
        <v>5.83</v>
      </c>
      <c r="O48" s="105">
        <f t="shared" si="2"/>
        <v>5.83</v>
      </c>
      <c r="P48" s="245">
        <f>'Rider Rates'!D121</f>
        <v>45226</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99" t="s">
        <v>158</v>
      </c>
      <c r="B49" s="78"/>
      <c r="C49" s="78"/>
      <c r="D49" s="100">
        <f>C16+C17</f>
        <v>0</v>
      </c>
      <c r="E49" s="101" t="s">
        <v>41</v>
      </c>
      <c r="F49" s="102" t="s">
        <v>8</v>
      </c>
      <c r="G49" s="103"/>
      <c r="H49" s="103"/>
      <c r="I49" s="120"/>
      <c r="J49" s="237">
        <f>SUM(G49:H49)</f>
        <v>0</v>
      </c>
      <c r="K49" s="104" t="s">
        <v>42</v>
      </c>
      <c r="L49" s="105"/>
      <c r="M49" s="105"/>
      <c r="N49" s="105"/>
      <c r="O49" s="105">
        <f t="shared" si="2"/>
        <v>0</v>
      </c>
      <c r="P49" s="245">
        <f>'Rider Rates'!$D$111</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210" t="s">
        <v>218</v>
      </c>
      <c r="B50" s="78"/>
      <c r="C50" s="78"/>
      <c r="D50" s="100">
        <f>IF($C$15&lt;1,0,$C$15)</f>
        <v>0</v>
      </c>
      <c r="E50" s="101" t="s">
        <v>41</v>
      </c>
      <c r="F50" s="249" t="s">
        <v>8</v>
      </c>
      <c r="G50" s="165"/>
      <c r="H50" s="165"/>
      <c r="I50" s="251">
        <f>'Rider Rates'!B117</f>
        <v>-6.2E-4</v>
      </c>
      <c r="J50" s="251">
        <f>SUM(G50:I50)</f>
        <v>-6.2E-4</v>
      </c>
      <c r="K50" s="104" t="s">
        <v>42</v>
      </c>
      <c r="L50" s="105"/>
      <c r="M50" s="105"/>
      <c r="N50" s="105">
        <f>D50*J50</f>
        <v>0</v>
      </c>
      <c r="O50" s="105">
        <f>SUM(L50:N50)</f>
        <v>0</v>
      </c>
      <c r="P50" s="245">
        <f>'Rider Rates'!D117</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5">
      <c r="A51" s="78" t="s">
        <v>243</v>
      </c>
      <c r="B51" s="78"/>
      <c r="C51" s="78"/>
      <c r="D51" s="100">
        <f>IF(C15&lt;0,0,IF(C15&gt;833000,833000,C15))</f>
        <v>0</v>
      </c>
      <c r="E51" s="101" t="s">
        <v>41</v>
      </c>
      <c r="F51" s="102" t="s">
        <v>8</v>
      </c>
      <c r="G51" s="267"/>
      <c r="H51" s="267"/>
      <c r="I51" s="267">
        <f>'Rider Rates'!$B$125</f>
        <v>2.9050000000000001E-4</v>
      </c>
      <c r="J51" s="267">
        <f>SUM(G51:I51)</f>
        <v>2.9050000000000001E-4</v>
      </c>
      <c r="K51" s="104" t="s">
        <v>42</v>
      </c>
      <c r="L51" s="268"/>
      <c r="M51" s="268"/>
      <c r="N51" s="268">
        <f>IF(D51*J51&gt;'Rider Rates'!$C$125,'Rider Rates'!$C$125,D51*J51)</f>
        <v>0</v>
      </c>
      <c r="O51" s="268">
        <f>SUM(L51:N51)</f>
        <v>0</v>
      </c>
      <c r="P51" s="266">
        <f>'Rider Rates'!$E$125</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5">
      <c r="A52" s="78" t="s">
        <v>244</v>
      </c>
      <c r="B52" s="78"/>
      <c r="C52" s="78"/>
      <c r="D52" s="123">
        <f>IF(C15&gt;833000,C15-833000,0)</f>
        <v>0</v>
      </c>
      <c r="E52" s="101" t="s">
        <v>41</v>
      </c>
      <c r="F52" s="102" t="s">
        <v>8</v>
      </c>
      <c r="G52" s="267"/>
      <c r="H52" s="267"/>
      <c r="I52" s="267">
        <f>'Rider Rates'!$B$126</f>
        <v>0</v>
      </c>
      <c r="J52" s="267">
        <f>SUM(G52:I52)</f>
        <v>0</v>
      </c>
      <c r="K52" s="104" t="s">
        <v>42</v>
      </c>
      <c r="L52" s="268"/>
      <c r="M52" s="268"/>
      <c r="N52" s="268">
        <f>D52*J52</f>
        <v>0</v>
      </c>
      <c r="O52" s="268">
        <f>SUM(L52:N52)</f>
        <v>0</v>
      </c>
      <c r="P52" s="266">
        <f>'Rider Rates'!$E$126</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5">
      <c r="A53" s="241" t="s">
        <v>252</v>
      </c>
      <c r="B53" s="78"/>
      <c r="C53" s="78"/>
      <c r="D53" s="100">
        <f>C15</f>
        <v>0</v>
      </c>
      <c r="E53" s="101" t="s">
        <v>41</v>
      </c>
      <c r="F53" s="249" t="s">
        <v>8</v>
      </c>
      <c r="G53" s="103"/>
      <c r="H53" s="103"/>
      <c r="I53" s="103">
        <f>'Rider Rates'!$B$130</f>
        <v>0</v>
      </c>
      <c r="J53" s="237">
        <f>SUM(G53:I53)</f>
        <v>0</v>
      </c>
      <c r="K53" s="104" t="s">
        <v>42</v>
      </c>
      <c r="L53" s="105"/>
      <c r="M53" s="105"/>
      <c r="N53" s="105">
        <f>D53*J53</f>
        <v>0</v>
      </c>
      <c r="O53" s="105">
        <f>SUM(L53:N53)</f>
        <v>0</v>
      </c>
      <c r="P53" s="245">
        <f>'Rider Rates'!$D$130</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5">
      <c r="A54" s="241" t="s">
        <v>251</v>
      </c>
      <c r="B54" s="78"/>
      <c r="C54" s="78"/>
      <c r="D54" s="100"/>
      <c r="E54" s="101" t="s">
        <v>114</v>
      </c>
      <c r="F54" s="102" t="s">
        <v>8</v>
      </c>
      <c r="G54" s="265"/>
      <c r="H54" s="265"/>
      <c r="I54" s="265">
        <f>'Rider Rates'!$B$137</f>
        <v>0</v>
      </c>
      <c r="J54" s="265">
        <f>SUM(G54:I54)</f>
        <v>0</v>
      </c>
      <c r="K54" s="104"/>
      <c r="L54" s="209"/>
      <c r="M54" s="209"/>
      <c r="N54" s="209">
        <f>J54</f>
        <v>0</v>
      </c>
      <c r="O54" s="209">
        <f>SUM(L54:N54)</f>
        <v>0</v>
      </c>
      <c r="P54" s="266">
        <f>'Rider Rates'!$D$137</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x14ac:dyDescent="0.25">
      <c r="A55" s="241" t="s">
        <v>253</v>
      </c>
      <c r="B55" s="78"/>
      <c r="C55" s="78"/>
      <c r="D55" s="100"/>
      <c r="E55" s="101"/>
      <c r="F55" s="102"/>
      <c r="G55" s="265"/>
      <c r="H55" s="265"/>
      <c r="I55" s="265"/>
      <c r="J55" s="265"/>
      <c r="K55" s="104"/>
      <c r="L55" s="209"/>
      <c r="M55" s="209"/>
      <c r="N55" s="209"/>
      <c r="O55" s="209"/>
      <c r="P55" s="266"/>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ht="13" x14ac:dyDescent="0.3">
      <c r="A56" s="179" t="s">
        <v>70</v>
      </c>
      <c r="B56" s="148"/>
      <c r="C56" s="148"/>
      <c r="D56" s="180"/>
      <c r="E56" s="181"/>
      <c r="F56" s="182"/>
      <c r="G56" s="182"/>
      <c r="H56" s="182"/>
      <c r="I56" s="182"/>
      <c r="J56" s="182"/>
      <c r="K56" s="183"/>
      <c r="L56" s="169">
        <f>SUM(L27:L55)</f>
        <v>0</v>
      </c>
      <c r="M56" s="169">
        <f>SUM(M27:M55)</f>
        <v>0</v>
      </c>
      <c r="N56" s="169">
        <f>SUM(N27:N55)</f>
        <v>24.659999999999997</v>
      </c>
      <c r="O56" s="169">
        <f>SUM(O27:O55)</f>
        <v>24.659999999999997</v>
      </c>
      <c r="P56" s="18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x14ac:dyDescent="0.25">
      <c r="A57" s="78"/>
      <c r="B57" s="78"/>
      <c r="C57" s="78"/>
      <c r="D57" s="100"/>
      <c r="E57" s="113"/>
      <c r="F57" s="106"/>
      <c r="G57" s="106"/>
      <c r="H57" s="106"/>
      <c r="I57" s="106"/>
      <c r="J57" s="107"/>
      <c r="K57" s="104"/>
      <c r="L57" s="106"/>
      <c r="M57" s="106"/>
      <c r="N57" s="106"/>
      <c r="O57" s="106"/>
      <c r="P57" s="164"/>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185" t="s">
        <v>93</v>
      </c>
      <c r="B58" s="170"/>
      <c r="C58" s="170"/>
      <c r="D58" s="170"/>
      <c r="E58" s="170"/>
      <c r="F58" s="170"/>
      <c r="G58" s="170"/>
      <c r="H58" s="170"/>
      <c r="I58" s="170"/>
      <c r="J58" s="170"/>
      <c r="K58" s="170"/>
      <c r="L58" s="186">
        <f>L23+L56</f>
        <v>0</v>
      </c>
      <c r="M58" s="186">
        <f>M23+M56</f>
        <v>0</v>
      </c>
      <c r="N58" s="186">
        <f>N23+N56</f>
        <v>34.059999999999995</v>
      </c>
      <c r="O58" s="187">
        <f>O23+O56</f>
        <v>34.059999999999995</v>
      </c>
      <c r="P58" s="187"/>
      <c r="Q58" s="106"/>
      <c r="R58" s="188"/>
      <c r="S58" s="108"/>
      <c r="T58" s="109"/>
      <c r="U58" s="78"/>
      <c r="V58" s="10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3" x14ac:dyDescent="0.3">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ht="13" x14ac:dyDescent="0.3">
      <c r="A60" s="78"/>
      <c r="B60" s="78"/>
      <c r="C60" s="78"/>
      <c r="D60" s="78"/>
      <c r="E60" s="78"/>
      <c r="F60" s="78"/>
      <c r="G60" s="78"/>
      <c r="H60" s="78"/>
      <c r="I60" s="78"/>
      <c r="J60" s="78"/>
      <c r="K60" s="78"/>
      <c r="L60" s="78"/>
      <c r="M60" s="78"/>
      <c r="N60" s="151"/>
      <c r="O60" s="151"/>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ht="13" x14ac:dyDescent="0.3">
      <c r="A61" s="166" t="s">
        <v>92</v>
      </c>
      <c r="B61" s="78"/>
      <c r="C61" s="78"/>
      <c r="D61" s="78"/>
      <c r="E61" s="78"/>
      <c r="F61" s="78"/>
      <c r="G61" s="78"/>
      <c r="H61" s="78"/>
      <c r="I61" s="78"/>
      <c r="J61" s="78"/>
      <c r="K61" s="78"/>
      <c r="L61" s="78"/>
      <c r="M61" s="78"/>
      <c r="N61" s="78"/>
      <c r="O61" s="109">
        <f>O21+O56</f>
        <v>34.059999999999995</v>
      </c>
      <c r="P61" s="151"/>
      <c r="Q61" s="166"/>
      <c r="R61" s="166"/>
      <c r="S61" s="166"/>
      <c r="T61" s="189"/>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ht="13" x14ac:dyDescent="0.3">
      <c r="A62" s="166" t="s">
        <v>15</v>
      </c>
      <c r="B62" s="166"/>
      <c r="C62" s="166"/>
      <c r="D62" s="166"/>
      <c r="E62" s="166"/>
      <c r="F62" s="166"/>
      <c r="G62" s="166"/>
      <c r="H62" s="166"/>
      <c r="I62" s="78"/>
      <c r="J62" s="78"/>
      <c r="K62" s="78"/>
      <c r="L62" s="78"/>
      <c r="M62" s="78"/>
      <c r="N62" s="151"/>
      <c r="O62" s="151"/>
      <c r="P62" s="151"/>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ht="13" x14ac:dyDescent="0.3">
      <c r="A63" s="148" t="s">
        <v>116</v>
      </c>
      <c r="B63" s="151"/>
      <c r="C63" s="151"/>
      <c r="D63" s="151"/>
      <c r="E63" s="151"/>
      <c r="F63" s="151"/>
      <c r="G63" s="151"/>
      <c r="H63" s="151"/>
      <c r="I63" s="151"/>
      <c r="J63" s="151"/>
      <c r="K63" s="151"/>
      <c r="L63" s="151"/>
      <c r="M63" s="151"/>
      <c r="N63" s="151"/>
      <c r="O63" s="190">
        <f>IF($D$17&lt;0,O58,IF(O58&gt;O61,O58,O61))</f>
        <v>34.059999999999995</v>
      </c>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36" ht="15" customHeight="1" x14ac:dyDescent="0.3">
      <c r="A64" s="148"/>
      <c r="B64" s="151"/>
      <c r="C64" s="151"/>
      <c r="D64" s="151"/>
      <c r="E64" s="151"/>
      <c r="F64" s="151"/>
      <c r="G64" s="151"/>
      <c r="H64" s="151"/>
      <c r="I64" s="151"/>
      <c r="J64" s="151"/>
      <c r="K64" s="151"/>
      <c r="L64" s="151"/>
      <c r="M64" s="151"/>
      <c r="N64" s="151"/>
      <c r="O64" s="190"/>
      <c r="P64" s="160"/>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c r="HN64" s="78"/>
      <c r="HO64" s="78"/>
      <c r="HP64" s="78"/>
      <c r="HQ64" s="78"/>
      <c r="HR64" s="78"/>
      <c r="HS64" s="78"/>
      <c r="HT64" s="78"/>
      <c r="HU64" s="78"/>
      <c r="HV64" s="78"/>
      <c r="HW64" s="78"/>
      <c r="HX64" s="78"/>
      <c r="HY64" s="78"/>
      <c r="HZ64" s="78"/>
      <c r="IA64" s="78"/>
      <c r="IB64" s="78"/>
    </row>
    <row r="65" spans="1:222" ht="13" x14ac:dyDescent="0.3">
      <c r="A65" s="148"/>
      <c r="B65" s="166"/>
      <c r="C65" s="166"/>
      <c r="D65" s="166"/>
      <c r="E65" s="166"/>
      <c r="F65" s="166"/>
      <c r="G65" s="166"/>
      <c r="H65" s="166"/>
      <c r="I65" s="166" t="s">
        <v>120</v>
      </c>
      <c r="J65" s="166"/>
      <c r="K65" s="166"/>
      <c r="L65" s="191"/>
      <c r="M65" s="191"/>
      <c r="N65" s="191"/>
      <c r="O65" s="191">
        <f>ROUND(IF($C$15&lt;1,0,O58/($C$15*100)*10000),2)</f>
        <v>0</v>
      </c>
      <c r="P65" s="37" t="s">
        <v>86</v>
      </c>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HE65" s="78"/>
      <c r="HF65" s="78"/>
      <c r="HG65" s="78"/>
      <c r="HH65" s="78"/>
      <c r="HI65" s="78"/>
      <c r="HJ65" s="78"/>
      <c r="HK65" s="78"/>
      <c r="HL65" s="78"/>
      <c r="HM65" s="78"/>
      <c r="HN65" s="78"/>
    </row>
    <row r="66" spans="1:222" ht="13" x14ac:dyDescent="0.3">
      <c r="B66" s="78"/>
      <c r="C66" s="78"/>
      <c r="D66" s="78"/>
      <c r="E66" s="78"/>
      <c r="F66" s="78"/>
      <c r="G66" s="78"/>
      <c r="H66" s="192"/>
      <c r="I66" s="242" t="s">
        <v>199</v>
      </c>
      <c r="J66" s="78"/>
      <c r="K66" s="78"/>
      <c r="L66" s="78"/>
      <c r="M66" s="78"/>
      <c r="N66" s="78"/>
      <c r="O66" s="243">
        <f>ROUND(IF($C$15&lt;1,0,(L58)/($C$15*100)*10000),2)</f>
        <v>0</v>
      </c>
      <c r="P66" s="25" t="s">
        <v>86</v>
      </c>
      <c r="Q66" s="78"/>
      <c r="R66" s="78"/>
      <c r="S66" s="78"/>
      <c r="T66" s="78"/>
      <c r="U66" s="78"/>
      <c r="V66" s="78"/>
      <c r="W66" s="78"/>
      <c r="X66" s="78"/>
      <c r="Y66" s="78"/>
      <c r="Z66" s="78"/>
      <c r="AA66" s="78"/>
      <c r="AB66" s="78"/>
      <c r="AC66" s="78"/>
      <c r="AD66" s="78"/>
      <c r="AE66" s="78"/>
      <c r="AF66" s="78"/>
      <c r="AG66" s="78"/>
      <c r="AH66" s="78"/>
      <c r="AI66" s="78"/>
      <c r="AJ66" s="78"/>
      <c r="AK66" s="78"/>
    </row>
  </sheetData>
  <sheetProtection algorithmName="SHA-512" hashValue="vCWKfCyu3fAQMWO/vNVohk5dFoP5PNWu3agWcZWARFdF6RDHryaXAsvRNIAL3rR/QHpqzaLZB312Yf6sS1ocWg==" saltValue="+egFwjiKLzG8kwtzcVmO3w==" spinCount="100000" sheet="1" objects="1" scenarios="1"/>
  <mergeCells count="8">
    <mergeCell ref="G19:J19"/>
    <mergeCell ref="L19:O19"/>
    <mergeCell ref="A1:P1"/>
    <mergeCell ref="A2:P2"/>
    <mergeCell ref="A3:P3"/>
    <mergeCell ref="A4:P4"/>
    <mergeCell ref="A7:P7"/>
    <mergeCell ref="A12:I12"/>
  </mergeCells>
  <printOptions horizontalCentered="1"/>
  <pageMargins left="0" right="0" top="0.75" bottom="0.5" header="0.5" footer="0.5"/>
  <pageSetup scale="60" fitToHeight="2" orientation="landscape" r:id="rId1"/>
  <headerFooter alignWithMargins="0"/>
  <rowBreaks count="1" manualBreakCount="1">
    <brk id="7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2033" r:id="rId4" name="Button 1">
              <controlPr defaultSize="0" print="0" autoFill="0" autoPict="0" macro="[0]!Info">
                <anchor moveWithCells="1">
                  <from>
                    <xdr:col>0</xdr:col>
                    <xdr:colOff>38100</xdr:colOff>
                    <xdr:row>0</xdr:row>
                    <xdr:rowOff>31750</xdr:rowOff>
                  </from>
                  <to>
                    <xdr:col>0</xdr:col>
                    <xdr:colOff>381000</xdr:colOff>
                    <xdr:row>0</xdr:row>
                    <xdr:rowOff>165100</xdr:rowOff>
                  </to>
                </anchor>
              </controlPr>
            </control>
          </mc:Choice>
        </mc:AlternateContent>
        <mc:AlternateContent xmlns:mc="http://schemas.openxmlformats.org/markup-compatibility/2006">
          <mc:Choice Requires="x14">
            <control shapeId="172034" r:id="rId5" name="Button 2">
              <controlPr defaultSize="0" print="0" autoFill="0" autoPict="0" macro="[0]!Info">
                <anchor moveWithCells="1">
                  <from>
                    <xdr:col>15</xdr:col>
                    <xdr:colOff>190500</xdr:colOff>
                    <xdr:row>73</xdr:row>
                    <xdr:rowOff>50800</xdr:rowOff>
                  </from>
                  <to>
                    <xdr:col>15</xdr:col>
                    <xdr:colOff>546100</xdr:colOff>
                    <xdr:row>74</xdr:row>
                    <xdr:rowOff>107950</xdr:rowOff>
                  </to>
                </anchor>
              </controlPr>
            </control>
          </mc:Choice>
        </mc:AlternateContent>
        <mc:AlternateContent xmlns:mc="http://schemas.openxmlformats.org/markup-compatibility/2006">
          <mc:Choice Requires="x14">
            <control shapeId="172035" r:id="rId6" name="Button 3">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172036" r:id="rId7" name="Button 4">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172037" r:id="rId8" name="Button 5">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172038" r:id="rId9" name="Button 6">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89"/>
  <sheetViews>
    <sheetView showGridLines="0" zoomScale="80" zoomScaleNormal="80" workbookViewId="0">
      <selection activeCell="C9" sqref="C9"/>
    </sheetView>
  </sheetViews>
  <sheetFormatPr defaultRowHeight="12.5" x14ac:dyDescent="0.25"/>
  <cols>
    <col min="1" max="1" width="31" customWidth="1"/>
    <col min="2" max="2" width="2.1796875" customWidth="1"/>
    <col min="3" max="3" width="19.26953125" customWidth="1"/>
    <col min="4" max="4" width="15.26953125" customWidth="1"/>
    <col min="5" max="5" width="9.81640625" customWidth="1"/>
    <col min="6" max="6" width="3.7265625" customWidth="1"/>
    <col min="7" max="8" width="13.26953125" customWidth="1"/>
    <col min="9" max="9" width="14.54296875" customWidth="1"/>
    <col min="10" max="10" width="13.26953125" customWidth="1"/>
    <col min="11" max="11" width="7" customWidth="1"/>
    <col min="12" max="12" width="15.1796875" customWidth="1"/>
    <col min="13" max="14" width="14.453125" customWidth="1"/>
    <col min="15" max="15" width="16.26953125" bestFit="1" customWidth="1"/>
    <col min="16" max="16" width="13.81640625" bestFit="1" customWidth="1"/>
    <col min="18" max="26" width="9.1796875" hidden="1" customWidth="1"/>
    <col min="27" max="27" width="10.54296875" hidden="1" customWidth="1"/>
    <col min="28" max="29" width="9.1796875" hidden="1" customWidth="1"/>
    <col min="30" max="30" width="10" hidden="1" customWidth="1"/>
  </cols>
  <sheetData>
    <row r="1" spans="1:256" ht="20" x14ac:dyDescent="0.4">
      <c r="A1" s="451" t="s">
        <v>119</v>
      </c>
      <c r="B1" s="451"/>
      <c r="C1" s="451"/>
      <c r="D1" s="451"/>
      <c r="E1" s="451"/>
      <c r="F1" s="451"/>
      <c r="G1" s="451"/>
      <c r="H1" s="451"/>
      <c r="I1" s="451"/>
      <c r="J1" s="451"/>
      <c r="K1" s="451"/>
      <c r="L1" s="451"/>
      <c r="M1" s="451"/>
      <c r="N1" s="451"/>
      <c r="O1" s="451"/>
      <c r="P1" s="451"/>
    </row>
    <row r="2" spans="1:256" ht="20" x14ac:dyDescent="0.4">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436"/>
      <c r="HZ2" s="436"/>
      <c r="IA2" s="436"/>
      <c r="IB2" s="436"/>
      <c r="IC2" s="436"/>
      <c r="ID2" s="436"/>
      <c r="IE2" s="436"/>
      <c r="IF2" s="436"/>
      <c r="IG2" s="436"/>
      <c r="IH2" s="436"/>
      <c r="II2" s="436"/>
      <c r="IJ2" s="436"/>
      <c r="IK2" s="436"/>
      <c r="IL2" s="436"/>
      <c r="IM2" s="436"/>
      <c r="IN2" s="436"/>
      <c r="IO2" s="436"/>
      <c r="IP2" s="436"/>
      <c r="IQ2" s="436"/>
      <c r="IR2" s="436"/>
      <c r="IS2" s="436"/>
      <c r="IT2" s="436"/>
      <c r="IU2" s="436"/>
      <c r="IV2" s="436"/>
    </row>
    <row r="3" spans="1:256" ht="18" x14ac:dyDescent="0.4">
      <c r="A3" s="452" t="s">
        <v>281</v>
      </c>
      <c r="B3" s="452"/>
      <c r="C3" s="452"/>
      <c r="D3" s="452"/>
      <c r="E3" s="452"/>
      <c r="F3" s="452"/>
      <c r="G3" s="452"/>
      <c r="H3" s="452"/>
      <c r="I3" s="452"/>
      <c r="J3" s="452"/>
      <c r="K3" s="452"/>
      <c r="L3" s="452"/>
      <c r="M3" s="452"/>
      <c r="N3" s="452"/>
      <c r="O3" s="452"/>
      <c r="P3" s="452"/>
    </row>
    <row r="4" spans="1:256"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256" ht="15.5" x14ac:dyDescent="0.35">
      <c r="A5" s="75"/>
      <c r="B5" s="75"/>
      <c r="C5" s="75"/>
      <c r="D5" s="75"/>
      <c r="E5" s="75"/>
      <c r="F5" s="75"/>
      <c r="G5" s="75"/>
      <c r="H5" s="75"/>
      <c r="I5" s="75"/>
      <c r="J5" s="75"/>
      <c r="K5" s="75"/>
    </row>
    <row r="6" spans="1:256" x14ac:dyDescent="0.25">
      <c r="A6" s="284">
        <f ca="1">TODAY()</f>
        <v>45378</v>
      </c>
      <c r="B6" s="210" t="s">
        <v>301</v>
      </c>
      <c r="C6" s="284"/>
      <c r="D6" s="284"/>
      <c r="E6" s="284"/>
      <c r="F6" s="284"/>
      <c r="G6" s="284"/>
      <c r="H6" s="284"/>
      <c r="I6" s="284"/>
    </row>
    <row r="7" spans="1:256" ht="25" x14ac:dyDescent="0.5">
      <c r="A7" s="453"/>
      <c r="B7" s="453"/>
      <c r="C7" s="453"/>
      <c r="D7" s="453"/>
      <c r="E7" s="453"/>
      <c r="F7" s="453"/>
      <c r="G7" s="453"/>
      <c r="H7" s="453"/>
      <c r="I7" s="453"/>
      <c r="J7" s="453"/>
      <c r="K7" s="453"/>
      <c r="L7" s="453"/>
      <c r="M7" s="453"/>
      <c r="N7" s="453"/>
      <c r="O7" s="453"/>
      <c r="P7" s="453"/>
    </row>
    <row r="8" spans="1:256" ht="15.5" x14ac:dyDescent="0.35">
      <c r="A8" s="23" t="s">
        <v>2</v>
      </c>
      <c r="B8" s="24"/>
      <c r="C8" s="25">
        <f>'Customer Info'!B7</f>
        <v>0</v>
      </c>
      <c r="I8" s="26"/>
    </row>
    <row r="9" spans="1:256" ht="15.5" x14ac:dyDescent="0.35">
      <c r="A9" s="27" t="s">
        <v>26</v>
      </c>
      <c r="B9" s="24"/>
      <c r="C9" s="25">
        <f>'Customer Info'!B8</f>
        <v>0</v>
      </c>
    </row>
    <row r="10" spans="1:256" ht="13" x14ac:dyDescent="0.3">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3">
      <c r="A11" s="446"/>
      <c r="B11" s="446"/>
      <c r="C11" s="446"/>
      <c r="D11" s="446"/>
      <c r="E11" s="446"/>
      <c r="F11" s="446"/>
      <c r="G11" s="446"/>
      <c r="H11" s="446"/>
      <c r="I11" s="446"/>
      <c r="R11" t="s">
        <v>114</v>
      </c>
      <c r="S11" s="145" t="s">
        <v>101</v>
      </c>
      <c r="T11" s="145" t="s">
        <v>102</v>
      </c>
      <c r="U11" s="145" t="s">
        <v>103</v>
      </c>
      <c r="V11" s="145" t="s">
        <v>104</v>
      </c>
      <c r="W11" s="145" t="s">
        <v>105</v>
      </c>
      <c r="X11" s="145" t="s">
        <v>106</v>
      </c>
      <c r="Y11" s="145" t="s">
        <v>107</v>
      </c>
      <c r="Z11" s="145" t="s">
        <v>108</v>
      </c>
      <c r="AA11" s="145" t="s">
        <v>109</v>
      </c>
      <c r="AB11" s="145" t="s">
        <v>111</v>
      </c>
      <c r="AC11" s="145" t="s">
        <v>110</v>
      </c>
      <c r="AD11" s="145" t="s">
        <v>112</v>
      </c>
    </row>
    <row r="12" spans="1:256" ht="13" x14ac:dyDescent="0.3">
      <c r="A12" s="28" t="s">
        <v>27</v>
      </c>
      <c r="B12" s="22"/>
      <c r="C12" s="22"/>
      <c r="D12" s="22"/>
      <c r="E12" s="22"/>
      <c r="F12" s="22"/>
      <c r="G12" s="22"/>
      <c r="H12" s="22"/>
      <c r="I12" s="22"/>
      <c r="J12" s="22"/>
      <c r="K12" s="22"/>
      <c r="L12" s="22"/>
      <c r="M12" s="22"/>
      <c r="N12" s="22"/>
      <c r="O12" s="22"/>
      <c r="P12" s="22"/>
      <c r="R12" s="3" t="s">
        <v>196</v>
      </c>
      <c r="S12" s="207">
        <f>'Rider Rates'!$C$23</f>
        <v>0.10589</v>
      </c>
      <c r="T12" s="207">
        <f>'Rider Rates'!$C$23</f>
        <v>0.10589</v>
      </c>
      <c r="U12" s="207">
        <f>'Rider Rates'!$C$23</f>
        <v>0.10589</v>
      </c>
      <c r="V12" s="207">
        <f>'Rider Rates'!$C$23</f>
        <v>0.10589</v>
      </c>
      <c r="W12" s="207">
        <f>'Rider Rates'!$C$23</f>
        <v>0.10589</v>
      </c>
      <c r="X12" s="207">
        <f>'Rider Rates'!$B$23</f>
        <v>0.10589</v>
      </c>
      <c r="Y12" s="207">
        <f>'Rider Rates'!$B$23</f>
        <v>0.10589</v>
      </c>
      <c r="Z12" s="207">
        <f>'Rider Rates'!$B$23</f>
        <v>0.10589</v>
      </c>
      <c r="AA12" s="207">
        <f>'Rider Rates'!$B$23</f>
        <v>0.10589</v>
      </c>
      <c r="AB12" s="207">
        <f>'Rider Rates'!$C$23</f>
        <v>0.10589</v>
      </c>
      <c r="AC12" s="207">
        <f>'Rider Rates'!$C$23</f>
        <v>0.10589</v>
      </c>
      <c r="AD12" s="207">
        <f>'Rider Rates'!$C$23</f>
        <v>0.10589</v>
      </c>
    </row>
    <row r="13" spans="1:256" x14ac:dyDescent="0.25">
      <c r="A13" s="18"/>
      <c r="B13" s="18"/>
      <c r="C13" s="59" t="s">
        <v>54</v>
      </c>
      <c r="D13" s="59" t="s">
        <v>55</v>
      </c>
      <c r="E13" s="18"/>
      <c r="F13" s="18"/>
      <c r="G13" s="18"/>
      <c r="H13" s="18"/>
      <c r="I13" s="18"/>
      <c r="J13" s="18"/>
      <c r="K13" s="18"/>
      <c r="L13" s="18"/>
      <c r="M13" s="18"/>
      <c r="N13" s="18"/>
      <c r="O13" s="18"/>
    </row>
    <row r="14" spans="1:256" x14ac:dyDescent="0.25">
      <c r="A14" s="29" t="s">
        <v>28</v>
      </c>
      <c r="B14" s="29"/>
      <c r="C14" s="44">
        <f>'Customer Info'!B18</f>
        <v>0</v>
      </c>
      <c r="D14" s="44">
        <f>ROUND(C14*C20,1)</f>
        <v>0</v>
      </c>
      <c r="E14" s="29" t="s">
        <v>45</v>
      </c>
      <c r="F14" s="30"/>
      <c r="G14" s="29" t="s">
        <v>15</v>
      </c>
      <c r="I14" s="53" t="s">
        <v>15</v>
      </c>
      <c r="J14" s="29"/>
      <c r="K14" s="29"/>
      <c r="L14" s="29"/>
      <c r="M14" s="29"/>
      <c r="N14" s="29"/>
    </row>
    <row r="15" spans="1:256" x14ac:dyDescent="0.25">
      <c r="A15" s="31" t="s">
        <v>29</v>
      </c>
      <c r="B15" s="31"/>
      <c r="C15" s="44">
        <f>'Customer Info'!B19</f>
        <v>0</v>
      </c>
      <c r="D15" s="44">
        <f>C15*C20</f>
        <v>0</v>
      </c>
      <c r="E15" s="29" t="s">
        <v>45</v>
      </c>
      <c r="F15" s="33"/>
      <c r="G15" s="31" t="s">
        <v>30</v>
      </c>
      <c r="I15" s="51" t="str">
        <f>IF(MAX(C14,C15)&gt;0,C16/(MAX(C14,C15)*730), " ")</f>
        <v xml:space="preserve"> </v>
      </c>
      <c r="J15" s="31"/>
      <c r="K15" s="31"/>
      <c r="L15" s="31"/>
      <c r="M15" s="31"/>
      <c r="N15" s="31"/>
      <c r="X15" s="207"/>
      <c r="Y15" s="207"/>
      <c r="Z15" s="207"/>
      <c r="AA15" s="207"/>
    </row>
    <row r="16" spans="1:256" x14ac:dyDescent="0.25">
      <c r="A16" s="31" t="s">
        <v>43</v>
      </c>
      <c r="B16" s="31"/>
      <c r="C16" s="32">
        <f>IF('Customer Info'!B21+'Customer Info'!B22-'Customer Info'!B23&lt;0,0,'Customer Info'!B21+'Customer Info'!B22-'Customer Info'!B23)</f>
        <v>0</v>
      </c>
      <c r="D16" s="32">
        <f>C16*C20</f>
        <v>0</v>
      </c>
      <c r="E16" s="31" t="s">
        <v>41</v>
      </c>
      <c r="F16" s="33"/>
      <c r="G16" s="31"/>
      <c r="H16" s="31"/>
      <c r="I16" s="31"/>
      <c r="J16" s="31"/>
      <c r="K16" s="31"/>
      <c r="L16" s="31"/>
      <c r="M16" s="31"/>
      <c r="N16" s="31"/>
      <c r="O16" s="31"/>
    </row>
    <row r="17" spans="1:30" x14ac:dyDescent="0.25">
      <c r="A17" s="31" t="s">
        <v>295</v>
      </c>
      <c r="B17" s="31"/>
      <c r="C17" s="32">
        <f>'Customer Info'!$B$27</f>
        <v>0</v>
      </c>
      <c r="D17" s="32">
        <f>$C$17*$C$20</f>
        <v>0</v>
      </c>
      <c r="E17" s="31" t="s">
        <v>298</v>
      </c>
      <c r="F17" s="33"/>
      <c r="K17" s="31"/>
      <c r="L17" s="31"/>
      <c r="M17" s="31"/>
      <c r="N17" s="31"/>
    </row>
    <row r="18" spans="1:30" x14ac:dyDescent="0.25">
      <c r="A18" s="31" t="s">
        <v>296</v>
      </c>
      <c r="B18" s="31"/>
      <c r="C18" s="287">
        <f>IF('Customer Info'!$B$18=0,0,ROUND(MAX(ROUND('Customer Info'!$B$18*'GS SEC OAD'!C20,1),ROUND('Customer Info'!$B$19*'GS SEC OAD'!C20,1))/'Customer Info'!$D$29,1))</f>
        <v>0</v>
      </c>
      <c r="D18" s="287">
        <f>$C$18</f>
        <v>0</v>
      </c>
      <c r="E18" s="31" t="s">
        <v>299</v>
      </c>
      <c r="F18" s="33"/>
      <c r="K18" s="31"/>
      <c r="L18" s="31"/>
      <c r="M18" s="31"/>
      <c r="N18" s="31"/>
    </row>
    <row r="19" spans="1:30" x14ac:dyDescent="0.25">
      <c r="A19" s="31" t="s">
        <v>297</v>
      </c>
      <c r="B19" s="31"/>
      <c r="C19" s="32"/>
      <c r="D19" s="287">
        <f>MAX(100,ROUND(1.15*(MAX('Customer Info'!$B$18*'GS SEC OAD'!C20,'Customer Info'!$B$19*'GS SEC OAD'!C20)),1))</f>
        <v>100</v>
      </c>
      <c r="E19" s="31" t="s">
        <v>299</v>
      </c>
      <c r="F19" s="33"/>
      <c r="K19" s="31"/>
      <c r="L19" s="31"/>
      <c r="M19" s="31"/>
      <c r="N19" s="31"/>
    </row>
    <row r="20" spans="1:30" ht="13" x14ac:dyDescent="0.3">
      <c r="A20" s="31" t="s">
        <v>53</v>
      </c>
      <c r="B20" s="31"/>
      <c r="C20" s="58">
        <f>+'Customer Info'!E18</f>
        <v>1</v>
      </c>
      <c r="D20" s="31"/>
      <c r="E20" s="31"/>
      <c r="F20" s="33"/>
      <c r="G20" s="23"/>
      <c r="H20" s="23"/>
      <c r="I20" s="23"/>
      <c r="J20" s="23"/>
      <c r="K20" s="31"/>
      <c r="L20" s="31"/>
      <c r="M20" s="31"/>
      <c r="N20" s="31"/>
      <c r="S20" s="207"/>
      <c r="T20" s="207"/>
      <c r="U20" s="207"/>
      <c r="V20" s="207"/>
      <c r="W20" s="207"/>
      <c r="X20" s="207"/>
      <c r="Y20" s="207"/>
      <c r="Z20" s="207"/>
      <c r="AA20" s="207"/>
      <c r="AB20" s="207"/>
      <c r="AC20" s="207"/>
      <c r="AD20" s="207"/>
    </row>
    <row r="21" spans="1:30" x14ac:dyDescent="0.25">
      <c r="A21" s="31" t="s">
        <v>15</v>
      </c>
      <c r="B21" s="31"/>
      <c r="C21" s="82" t="s">
        <v>15</v>
      </c>
      <c r="D21" s="455" t="s">
        <v>15</v>
      </c>
      <c r="E21" s="455"/>
      <c r="F21" s="455"/>
      <c r="G21" s="455"/>
      <c r="H21" s="455"/>
      <c r="K21" s="31"/>
      <c r="L21" s="31"/>
      <c r="M21" s="31"/>
      <c r="N21" s="31"/>
      <c r="O21" s="50"/>
    </row>
    <row r="22" spans="1:30" ht="13" x14ac:dyDescent="0.3">
      <c r="A22" s="31" t="s">
        <v>15</v>
      </c>
      <c r="B22" s="31"/>
      <c r="C22" s="82" t="s">
        <v>15</v>
      </c>
      <c r="D22" s="455" t="s">
        <v>15</v>
      </c>
      <c r="E22" s="455"/>
      <c r="F22" s="455"/>
      <c r="G22" s="455"/>
      <c r="H22" s="455"/>
      <c r="I22" s="23"/>
      <c r="J22" s="23"/>
      <c r="K22" s="31"/>
      <c r="L22" s="31"/>
      <c r="M22" s="31"/>
      <c r="N22" s="31"/>
      <c r="O22" s="50"/>
    </row>
    <row r="23" spans="1:30" ht="13" x14ac:dyDescent="0.3">
      <c r="A23" s="31"/>
      <c r="B23" s="31"/>
      <c r="C23" s="33"/>
      <c r="D23" s="33"/>
      <c r="E23" s="33"/>
      <c r="F23" s="33"/>
      <c r="G23" s="23"/>
      <c r="H23" s="23"/>
      <c r="I23" s="23"/>
      <c r="J23" s="23"/>
      <c r="K23" s="31"/>
      <c r="L23" s="31"/>
      <c r="M23" s="31"/>
      <c r="N23" s="31"/>
      <c r="O23" s="31"/>
    </row>
    <row r="24" spans="1:30" ht="13" x14ac:dyDescent="0.3">
      <c r="A24" s="28" t="s">
        <v>31</v>
      </c>
      <c r="B24" s="22"/>
      <c r="C24" s="22"/>
      <c r="D24" s="22"/>
      <c r="E24" s="22"/>
      <c r="F24" s="22"/>
      <c r="G24" s="447" t="s">
        <v>67</v>
      </c>
      <c r="H24" s="448"/>
      <c r="I24" s="448"/>
      <c r="J24" s="449"/>
      <c r="K24" s="22"/>
      <c r="L24" s="450" t="s">
        <v>68</v>
      </c>
      <c r="M24" s="450"/>
      <c r="N24" s="450"/>
      <c r="O24" s="450"/>
    </row>
    <row r="25" spans="1:30" ht="13" x14ac:dyDescent="0.3">
      <c r="A25" s="18"/>
      <c r="B25" s="18"/>
      <c r="C25" s="18"/>
      <c r="D25" s="18"/>
      <c r="E25" s="18"/>
      <c r="F25" s="18"/>
      <c r="G25" s="8" t="s">
        <v>64</v>
      </c>
      <c r="H25" s="8" t="s">
        <v>65</v>
      </c>
      <c r="I25" s="8" t="s">
        <v>66</v>
      </c>
      <c r="J25" s="112" t="s">
        <v>34</v>
      </c>
      <c r="K25" s="18"/>
      <c r="L25" s="285" t="s">
        <v>64</v>
      </c>
      <c r="M25" s="285" t="s">
        <v>65</v>
      </c>
      <c r="N25" s="285" t="s">
        <v>66</v>
      </c>
      <c r="O25" s="132" t="s">
        <v>34</v>
      </c>
      <c r="P25" s="43" t="s">
        <v>56</v>
      </c>
    </row>
    <row r="26" spans="1:30" x14ac:dyDescent="0.25">
      <c r="A26" t="s">
        <v>32</v>
      </c>
      <c r="G26" s="86"/>
      <c r="H26" s="86"/>
      <c r="I26" s="86">
        <v>9.4</v>
      </c>
      <c r="J26" s="86">
        <f>SUM(G26:I26)</f>
        <v>9.4</v>
      </c>
      <c r="L26" s="88"/>
      <c r="M26" s="88"/>
      <c r="N26" s="88">
        <f>I26</f>
        <v>9.4</v>
      </c>
      <c r="O26" s="209">
        <f>SUM(L26:N26)</f>
        <v>9.4</v>
      </c>
      <c r="P26" s="245">
        <v>44531</v>
      </c>
    </row>
    <row r="27" spans="1:30" x14ac:dyDescent="0.25">
      <c r="A27" t="s">
        <v>132</v>
      </c>
      <c r="D27" s="1">
        <f>D16</f>
        <v>0</v>
      </c>
      <c r="E27" s="101" t="s">
        <v>41</v>
      </c>
      <c r="F27" s="102" t="s">
        <v>8</v>
      </c>
      <c r="G27" s="84"/>
      <c r="H27" s="86"/>
      <c r="I27" s="86"/>
      <c r="J27" s="84"/>
      <c r="K27" s="104" t="s">
        <v>42</v>
      </c>
      <c r="L27" s="87"/>
      <c r="M27" s="88"/>
      <c r="N27" s="87"/>
      <c r="O27" s="209"/>
      <c r="P27" s="245"/>
    </row>
    <row r="28" spans="1:30" x14ac:dyDescent="0.25">
      <c r="A28" t="s">
        <v>33</v>
      </c>
      <c r="D28" s="49">
        <f>ROUND(MAX(D14,D15,('Customer Info'!B14-100)*0.6,('Customer Info'!B16-100)*0.6),1)</f>
        <v>0</v>
      </c>
      <c r="E28" s="29" t="s">
        <v>45</v>
      </c>
      <c r="F28" s="4" t="s">
        <v>8</v>
      </c>
      <c r="G28" s="85"/>
      <c r="H28" s="85"/>
      <c r="I28" s="85">
        <v>7.01</v>
      </c>
      <c r="J28" s="85">
        <f>SUM(G28:I28)</f>
        <v>7.01</v>
      </c>
      <c r="K28" s="36" t="s">
        <v>44</v>
      </c>
      <c r="L28" s="87"/>
      <c r="M28" s="87"/>
      <c r="N28" s="87">
        <f>ROUND($D28*I28,2)</f>
        <v>0</v>
      </c>
      <c r="O28" s="209">
        <f>SUM(L28:N28)</f>
        <v>0</v>
      </c>
      <c r="P28" s="245">
        <v>44531</v>
      </c>
    </row>
    <row r="29" spans="1:30" x14ac:dyDescent="0.25">
      <c r="A29" t="s">
        <v>272</v>
      </c>
      <c r="D29" s="49">
        <f>IF(D18&lt;=100,0,ROUND(IF(D18-D19&gt;0,D18-D19),1))</f>
        <v>0</v>
      </c>
      <c r="E29" s="29" t="s">
        <v>270</v>
      </c>
      <c r="F29" s="4" t="s">
        <v>8</v>
      </c>
      <c r="G29" s="116"/>
      <c r="H29" s="85"/>
      <c r="I29" s="85">
        <v>1.25</v>
      </c>
      <c r="J29" s="116">
        <f>SUM(G29:I29)</f>
        <v>1.25</v>
      </c>
      <c r="K29" s="36" t="s">
        <v>44</v>
      </c>
      <c r="L29" s="87"/>
      <c r="M29" s="87"/>
      <c r="N29" s="87">
        <f>ROUND($D29*I29,2)</f>
        <v>0</v>
      </c>
      <c r="O29" s="87">
        <f>SUM(L29:N29)</f>
        <v>0</v>
      </c>
      <c r="P29" s="245">
        <v>44531</v>
      </c>
    </row>
    <row r="30" spans="1:30" ht="13" x14ac:dyDescent="0.3">
      <c r="A30" s="37" t="s">
        <v>50</v>
      </c>
      <c r="B30" s="37"/>
      <c r="C30" s="37"/>
      <c r="D30" s="38"/>
      <c r="E30" s="38"/>
      <c r="F30" s="37"/>
      <c r="G30" s="37"/>
      <c r="H30" s="37"/>
      <c r="I30" s="37"/>
      <c r="J30" s="37"/>
      <c r="K30" s="39"/>
      <c r="L30" s="40"/>
      <c r="M30" s="40"/>
      <c r="N30" s="40">
        <f>SUM(N26:N29)</f>
        <v>9.4</v>
      </c>
      <c r="O30" s="40">
        <f>SUM(O26:O29)</f>
        <v>9.4</v>
      </c>
    </row>
    <row r="31" spans="1:30" ht="13" x14ac:dyDescent="0.3">
      <c r="A31" s="89"/>
      <c r="B31" s="89"/>
      <c r="C31" s="90"/>
      <c r="D31" s="90"/>
      <c r="E31" s="90"/>
      <c r="F31" s="90"/>
      <c r="G31" s="91"/>
      <c r="H31" s="91"/>
      <c r="I31" s="91"/>
      <c r="J31" s="91"/>
      <c r="K31" s="89"/>
      <c r="L31" s="89"/>
      <c r="M31" s="89"/>
      <c r="N31" s="89"/>
      <c r="O31" s="89"/>
      <c r="P31" s="89"/>
    </row>
    <row r="32" spans="1:30" ht="13" x14ac:dyDescent="0.3">
      <c r="A32" s="41" t="s">
        <v>69</v>
      </c>
      <c r="D32" s="1"/>
      <c r="E32" s="1"/>
      <c r="K32" s="36"/>
      <c r="L32" s="36"/>
      <c r="M32" s="36"/>
      <c r="N32" s="36"/>
      <c r="O32" s="34"/>
      <c r="P32" s="34"/>
    </row>
    <row r="33" spans="1:221" ht="13" x14ac:dyDescent="0.3">
      <c r="A33" s="37"/>
      <c r="D33" s="1"/>
      <c r="E33" s="1"/>
      <c r="K33" s="36"/>
      <c r="L33" s="36"/>
      <c r="M33" s="36"/>
      <c r="N33" s="36"/>
      <c r="O33" s="34"/>
    </row>
    <row r="34" spans="1:221" x14ac:dyDescent="0.25">
      <c r="A34" s="78" t="s">
        <v>78</v>
      </c>
      <c r="D34" s="1">
        <f>IF($C$16&lt;0,0,IF($C$16&gt;833000,833000,$C$16))</f>
        <v>0</v>
      </c>
      <c r="E34" s="35" t="s">
        <v>41</v>
      </c>
      <c r="F34" s="4" t="s">
        <v>8</v>
      </c>
      <c r="G34" s="83"/>
      <c r="H34" s="84"/>
      <c r="I34" s="103">
        <f>'Rider Rates'!$B$4</f>
        <v>5.9216E-3</v>
      </c>
      <c r="J34" s="6">
        <f>SUM(G34:I34)</f>
        <v>5.9216E-3</v>
      </c>
      <c r="K34" s="36" t="s">
        <v>42</v>
      </c>
      <c r="L34" s="87"/>
      <c r="M34" s="87"/>
      <c r="N34" s="87">
        <f>ROUND($D34*I34,2)</f>
        <v>0</v>
      </c>
      <c r="O34" s="87">
        <f>SUM(L34:N34)</f>
        <v>0</v>
      </c>
      <c r="P34" s="245">
        <f>'Rider Rates'!$D$4</f>
        <v>45293</v>
      </c>
    </row>
    <row r="35" spans="1:221" x14ac:dyDescent="0.25">
      <c r="A35" s="78" t="s">
        <v>79</v>
      </c>
      <c r="D35" s="1">
        <f>IF($C$16-833000&gt;0,$C$16-D34,0)</f>
        <v>0</v>
      </c>
      <c r="E35" s="35" t="s">
        <v>41</v>
      </c>
      <c r="F35" s="4" t="s">
        <v>8</v>
      </c>
      <c r="G35" s="83"/>
      <c r="H35" s="84"/>
      <c r="I35" s="103">
        <f>'Rider Rates'!$B$5</f>
        <v>1.7560000000000001E-4</v>
      </c>
      <c r="J35" s="118">
        <f>SUM(G35:I35)</f>
        <v>1.7560000000000001E-4</v>
      </c>
      <c r="K35" s="36" t="s">
        <v>42</v>
      </c>
      <c r="L35" s="87"/>
      <c r="M35" s="87"/>
      <c r="N35" s="87">
        <f>ROUND($D35*I35,2)</f>
        <v>0</v>
      </c>
      <c r="O35" s="87">
        <f>SUM(L35:N35)</f>
        <v>0</v>
      </c>
      <c r="P35" s="245">
        <f>'Rider Rates'!$D$4</f>
        <v>45293</v>
      </c>
    </row>
    <row r="36" spans="1:221" x14ac:dyDescent="0.25">
      <c r="A36" s="78" t="s">
        <v>47</v>
      </c>
      <c r="B36" t="s">
        <v>15</v>
      </c>
      <c r="D36" s="1">
        <f>IF('Customer Info'!$C$32=TRUE,0,IF(C16&lt;0,0,IF(C16&gt;2000,2000,C16)))</f>
        <v>0</v>
      </c>
      <c r="E36" s="35" t="s">
        <v>41</v>
      </c>
      <c r="F36" s="4" t="s">
        <v>8</v>
      </c>
      <c r="G36" s="83"/>
      <c r="H36" s="84"/>
      <c r="I36" s="177">
        <f>'Rider Rates'!$B$8</f>
        <v>4.6499999999999996E-3</v>
      </c>
      <c r="J36" s="117">
        <f>SUM(G36:I36)</f>
        <v>4.6499999999999996E-3</v>
      </c>
      <c r="K36" s="36" t="s">
        <v>42</v>
      </c>
      <c r="L36" s="87"/>
      <c r="M36" s="87"/>
      <c r="N36" s="87">
        <f>ROUND($D36*I36,2)</f>
        <v>0</v>
      </c>
      <c r="O36" s="87">
        <f>SUM(L36:N36)</f>
        <v>0</v>
      </c>
      <c r="P36" s="245">
        <f>'Rider Rates'!$D$7</f>
        <v>44531</v>
      </c>
    </row>
    <row r="37" spans="1:221" x14ac:dyDescent="0.25">
      <c r="A37" s="78" t="s">
        <v>48</v>
      </c>
      <c r="B37" t="s">
        <v>15</v>
      </c>
      <c r="D37" s="1">
        <f>IF('Customer Info'!$C$32=TRUE,0,IF(C16&gt;15000,13000,IF(C16&gt;2000,C16-2000,0)))</f>
        <v>0</v>
      </c>
      <c r="E37" s="35" t="s">
        <v>41</v>
      </c>
      <c r="F37" s="4" t="s">
        <v>8</v>
      </c>
      <c r="G37" s="83"/>
      <c r="H37" s="84"/>
      <c r="I37" s="177">
        <f>'Rider Rates'!$B$9</f>
        <v>4.1900000000000001E-3</v>
      </c>
      <c r="J37" s="117">
        <f>SUM(G37:I37)</f>
        <v>4.1900000000000001E-3</v>
      </c>
      <c r="K37" s="36" t="s">
        <v>42</v>
      </c>
      <c r="L37" s="87"/>
      <c r="M37" s="87"/>
      <c r="N37" s="87">
        <f>ROUND($D37*I37,2)</f>
        <v>0</v>
      </c>
      <c r="O37" s="87">
        <f>SUM(L37:N37)</f>
        <v>0</v>
      </c>
      <c r="P37" s="245">
        <f>'Rider Rates'!$D$7</f>
        <v>44531</v>
      </c>
    </row>
    <row r="38" spans="1:221" x14ac:dyDescent="0.25">
      <c r="A38" s="78" t="s">
        <v>49</v>
      </c>
      <c r="B38" t="s">
        <v>15</v>
      </c>
      <c r="D38" s="1">
        <f>IF('Customer Info'!$C$32=TRUE,0,IF(C16-D36-D37&gt;0,C16-D36-D37,0))</f>
        <v>0</v>
      </c>
      <c r="E38" s="35" t="s">
        <v>41</v>
      </c>
      <c r="F38" s="4" t="s">
        <v>8</v>
      </c>
      <c r="G38" s="83"/>
      <c r="H38" s="84"/>
      <c r="I38" s="177">
        <f>'Rider Rates'!$B$10</f>
        <v>3.63E-3</v>
      </c>
      <c r="J38" s="117">
        <f>SUM(G38:I38)</f>
        <v>3.63E-3</v>
      </c>
      <c r="K38" s="36" t="s">
        <v>42</v>
      </c>
      <c r="L38" s="87"/>
      <c r="M38" s="87"/>
      <c r="N38" s="87">
        <f>ROUND($D38*I38,2)</f>
        <v>0</v>
      </c>
      <c r="O38" s="87">
        <f>SUM(L38:N38)</f>
        <v>0</v>
      </c>
      <c r="P38" s="245">
        <f>'Rider Rates'!$D$7</f>
        <v>44531</v>
      </c>
    </row>
    <row r="39" spans="1:221" ht="13" x14ac:dyDescent="0.3">
      <c r="A39" s="241" t="s">
        <v>247</v>
      </c>
      <c r="B39" s="78"/>
      <c r="C39" s="78"/>
      <c r="D39" s="208">
        <f>$N$30</f>
        <v>9.4</v>
      </c>
      <c r="E39" s="101" t="s">
        <v>121</v>
      </c>
      <c r="F39" s="102" t="s">
        <v>8</v>
      </c>
      <c r="G39" s="103"/>
      <c r="H39" s="103"/>
      <c r="I39" s="178">
        <f>'Rider Rates'!$B$18+'Rider Rates'!$E$18</f>
        <v>0</v>
      </c>
      <c r="J39" s="120">
        <f>SUM(H39:I39)</f>
        <v>0</v>
      </c>
      <c r="K39" s="104"/>
      <c r="L39" s="105"/>
      <c r="M39" s="105"/>
      <c r="N39" s="105">
        <f>ROUND($D$39*'Rider Rates'!$B$18,2)+ROUND($D$39*'Rider Rates'!$E$18,2)</f>
        <v>0</v>
      </c>
      <c r="O39" s="105">
        <f t="shared" ref="O39:O48" si="0">SUM(L39:N39)</f>
        <v>0</v>
      </c>
      <c r="P39" s="245">
        <f>MAX('Rider Rates'!$D$18,'Rider Rates'!$F$18)</f>
        <v>44531</v>
      </c>
    </row>
    <row r="40" spans="1:221" x14ac:dyDescent="0.25">
      <c r="A40" s="241" t="s">
        <v>220</v>
      </c>
      <c r="B40" s="78"/>
      <c r="C40" s="78"/>
      <c r="D40" s="1">
        <f>IF($C$16&lt;0,0,IF($C$16&gt;833000,833000,$C$16))</f>
        <v>0</v>
      </c>
      <c r="E40" s="101" t="s">
        <v>41</v>
      </c>
      <c r="F40" s="102" t="s">
        <v>8</v>
      </c>
      <c r="G40" s="103"/>
      <c r="H40" s="103"/>
      <c r="I40" s="103">
        <f>'Rider Rates'!D50</f>
        <v>1.7826999999999999E-3</v>
      </c>
      <c r="J40" s="103">
        <f>SUM(G40:I40)</f>
        <v>1.7826999999999999E-3</v>
      </c>
      <c r="K40" s="104" t="s">
        <v>42</v>
      </c>
      <c r="L40" s="105"/>
      <c r="M40" s="105"/>
      <c r="N40" s="87">
        <f>D40*J40</f>
        <v>0</v>
      </c>
      <c r="O40" s="105">
        <f t="shared" si="0"/>
        <v>0</v>
      </c>
      <c r="P40" s="245">
        <f>'Rider Rates'!E50</f>
        <v>45292</v>
      </c>
    </row>
    <row r="41" spans="1:221" x14ac:dyDescent="0.25">
      <c r="A41" s="210" t="s">
        <v>198</v>
      </c>
      <c r="B41" s="78"/>
      <c r="C41" s="78"/>
      <c r="D41" s="1">
        <f>IF($C$16&lt;0,0,$C$16)</f>
        <v>0</v>
      </c>
      <c r="E41" s="113" t="s">
        <v>41</v>
      </c>
      <c r="F41" s="102" t="s">
        <v>8</v>
      </c>
      <c r="G41" s="103"/>
      <c r="H41" s="103">
        <f>'Rider Rates'!$B$58</f>
        <v>6.0079999999999997E-4</v>
      </c>
      <c r="I41" s="103"/>
      <c r="J41" s="103">
        <f>SUM(G41:I41)</f>
        <v>6.0079999999999997E-4</v>
      </c>
      <c r="K41" s="104" t="s">
        <v>42</v>
      </c>
      <c r="L41" s="105"/>
      <c r="M41" s="105">
        <f>ROUND(D41*H41,2)</f>
        <v>0</v>
      </c>
      <c r="N41" s="205"/>
      <c r="O41" s="105">
        <f t="shared" si="0"/>
        <v>0</v>
      </c>
      <c r="P41" s="245">
        <f>'Rider Rates'!$D$58</f>
        <v>45383</v>
      </c>
    </row>
    <row r="42" spans="1:221" x14ac:dyDescent="0.25">
      <c r="A42" s="210" t="s">
        <v>198</v>
      </c>
      <c r="B42" s="78"/>
      <c r="C42" s="78"/>
      <c r="D42" s="49">
        <f>D28</f>
        <v>0</v>
      </c>
      <c r="E42" s="35" t="s">
        <v>63</v>
      </c>
      <c r="F42" s="4" t="s">
        <v>8</v>
      </c>
      <c r="G42" s="103"/>
      <c r="H42" s="239">
        <f>'Rider Rates'!$B$63</f>
        <v>6.73</v>
      </c>
      <c r="I42" s="103"/>
      <c r="J42" s="239">
        <f>SUM(G42:I42)</f>
        <v>6.73</v>
      </c>
      <c r="K42" s="104" t="s">
        <v>44</v>
      </c>
      <c r="L42" s="105"/>
      <c r="M42" s="105">
        <f>ROUND(D42*H42,2)</f>
        <v>0</v>
      </c>
      <c r="N42" s="205"/>
      <c r="O42" s="105">
        <f t="shared" si="0"/>
        <v>0</v>
      </c>
      <c r="P42" s="245">
        <f>'Rider Rates'!$D$63</f>
        <v>45383</v>
      </c>
    </row>
    <row r="43" spans="1:221" x14ac:dyDescent="0.25">
      <c r="A43" s="99" t="s">
        <v>82</v>
      </c>
      <c r="B43" s="78"/>
      <c r="C43" s="78"/>
      <c r="D43" s="1">
        <f>IF('Customer Info'!C34=TRUE,0,IF($C$16&lt;0,0,$C$16))</f>
        <v>0</v>
      </c>
      <c r="E43" s="101" t="s">
        <v>41</v>
      </c>
      <c r="F43" s="102" t="s">
        <v>8</v>
      </c>
      <c r="G43" s="103"/>
      <c r="H43" s="103"/>
      <c r="I43" s="103">
        <f>'Rider Rates'!$B$70+'Rider Rates'!$C$70</f>
        <v>0</v>
      </c>
      <c r="J43" s="103">
        <f>SUM(G43:I43)</f>
        <v>0</v>
      </c>
      <c r="K43" s="104" t="s">
        <v>42</v>
      </c>
      <c r="L43" s="105"/>
      <c r="M43" s="105"/>
      <c r="N43" s="87">
        <f>ROUND($D$43*'Rider Rates'!$B$70,2)+ROUND($D$43*'Rider Rates'!$C$70,2)</f>
        <v>0</v>
      </c>
      <c r="O43" s="209">
        <f t="shared" si="0"/>
        <v>0</v>
      </c>
      <c r="P43" s="245">
        <f>'Rider Rates'!$D$70</f>
        <v>44531</v>
      </c>
      <c r="Q43" s="107"/>
      <c r="R43" s="108"/>
      <c r="S43" s="109"/>
      <c r="T43" s="78"/>
      <c r="U43" s="110"/>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row>
    <row r="44" spans="1:221" x14ac:dyDescent="0.25">
      <c r="A44" s="99" t="s">
        <v>82</v>
      </c>
      <c r="B44" s="78"/>
      <c r="C44" s="78"/>
      <c r="D44" s="49">
        <f>IF('Customer Info'!C34=TRUE,0,$D$28)</f>
        <v>0</v>
      </c>
      <c r="E44" s="101" t="s">
        <v>45</v>
      </c>
      <c r="F44" s="102" t="s">
        <v>8</v>
      </c>
      <c r="G44" s="103"/>
      <c r="H44" s="103"/>
      <c r="I44" s="239">
        <f>'Rider Rates'!$B$80</f>
        <v>0</v>
      </c>
      <c r="J44" s="239">
        <f>SUM(G44:I44)</f>
        <v>0</v>
      </c>
      <c r="K44" s="104" t="s">
        <v>42</v>
      </c>
      <c r="L44" s="105"/>
      <c r="M44" s="105"/>
      <c r="N44" s="87">
        <f>ROUND($D44*I44,2)</f>
        <v>0</v>
      </c>
      <c r="O44" s="209">
        <f>SUM(L44:N44)</f>
        <v>0</v>
      </c>
      <c r="P44" s="245">
        <f>'Rider Rates'!$D$80</f>
        <v>44531</v>
      </c>
      <c r="Q44" s="107"/>
      <c r="R44" s="108"/>
      <c r="S44" s="109"/>
      <c r="T44" s="78"/>
      <c r="U44" s="110"/>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row>
    <row r="45" spans="1:221" ht="13" x14ac:dyDescent="0.3">
      <c r="A45" s="99" t="s">
        <v>80</v>
      </c>
      <c r="B45" s="78"/>
      <c r="C45" s="78"/>
      <c r="D45" s="208">
        <f>$N$30</f>
        <v>9.4</v>
      </c>
      <c r="E45" s="101" t="s">
        <v>121</v>
      </c>
      <c r="F45" s="102" t="s">
        <v>8</v>
      </c>
      <c r="G45" s="111"/>
      <c r="H45" s="112"/>
      <c r="I45" s="120">
        <f>'Rider Rates'!$B$84</f>
        <v>2.9347000000000002E-2</v>
      </c>
      <c r="J45" s="120">
        <f>SUM(H45:I45)</f>
        <v>2.9347000000000002E-2</v>
      </c>
      <c r="K45" s="104"/>
      <c r="L45" s="105"/>
      <c r="M45" s="105"/>
      <c r="N45" s="105">
        <f>ROUND(N$30*I45,2)</f>
        <v>0.28000000000000003</v>
      </c>
      <c r="O45" s="209">
        <f t="shared" si="0"/>
        <v>0.28000000000000003</v>
      </c>
      <c r="P45" s="245">
        <f>'Rider Rates'!$D$84</f>
        <v>45383</v>
      </c>
      <c r="Q45" s="107"/>
      <c r="R45" s="108"/>
      <c r="S45" s="109"/>
      <c r="T45" s="78"/>
      <c r="U45" s="110"/>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1" ht="13" x14ac:dyDescent="0.3">
      <c r="A46" s="99" t="s">
        <v>81</v>
      </c>
      <c r="B46" s="78"/>
      <c r="C46" s="78"/>
      <c r="D46" s="208">
        <f>$N$30</f>
        <v>9.4</v>
      </c>
      <c r="E46" s="101" t="s">
        <v>121</v>
      </c>
      <c r="F46" s="102" t="s">
        <v>8</v>
      </c>
      <c r="G46" s="114"/>
      <c r="H46" s="115"/>
      <c r="I46" s="120">
        <f>'Rider Rates'!$B$86</f>
        <v>6.6985699999999995E-2</v>
      </c>
      <c r="J46" s="120">
        <f>SUM(H46:I46)</f>
        <v>6.6985699999999995E-2</v>
      </c>
      <c r="K46" s="104"/>
      <c r="L46" s="105"/>
      <c r="M46" s="105"/>
      <c r="N46" s="105">
        <f>ROUND(N$30*I46,2)</f>
        <v>0.63</v>
      </c>
      <c r="O46" s="209">
        <f t="shared" si="0"/>
        <v>0.63</v>
      </c>
      <c r="P46" s="245">
        <f>'Rider Rates'!$D$86</f>
        <v>45167</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1" ht="13" x14ac:dyDescent="0.3">
      <c r="A47" s="210" t="s">
        <v>216</v>
      </c>
      <c r="B47" s="78"/>
      <c r="C47" s="78"/>
      <c r="D47" s="195"/>
      <c r="E47" s="113" t="s">
        <v>114</v>
      </c>
      <c r="F47" s="106"/>
      <c r="G47" s="114"/>
      <c r="H47" s="115"/>
      <c r="I47" s="196">
        <f>'Rider Rates'!$B$90</f>
        <v>15.91</v>
      </c>
      <c r="J47" s="196">
        <f>SUM(G47:I47)</f>
        <v>15.91</v>
      </c>
      <c r="K47" s="104"/>
      <c r="L47" s="105"/>
      <c r="M47" s="105"/>
      <c r="N47" s="105">
        <f>I47</f>
        <v>15.91</v>
      </c>
      <c r="O47" s="105">
        <f>SUM(L47:N47)</f>
        <v>15.91</v>
      </c>
      <c r="P47" s="245">
        <f>'Rider Rates'!$D$90</f>
        <v>45351</v>
      </c>
    </row>
    <row r="48" spans="1:221" ht="13" x14ac:dyDescent="0.3">
      <c r="A48" s="99" t="s">
        <v>157</v>
      </c>
      <c r="B48" s="78"/>
      <c r="C48" s="78"/>
      <c r="D48" s="208">
        <f>$N$30</f>
        <v>9.4</v>
      </c>
      <c r="E48" s="101" t="s">
        <v>121</v>
      </c>
      <c r="F48" s="102" t="s">
        <v>8</v>
      </c>
      <c r="G48" s="114"/>
      <c r="H48" s="115"/>
      <c r="I48" s="120">
        <f>'Rider Rates'!$B$104</f>
        <v>0.21398439999999999</v>
      </c>
      <c r="J48" s="120">
        <f>SUM(H48:I48)</f>
        <v>0.21398439999999999</v>
      </c>
      <c r="K48" s="104"/>
      <c r="L48" s="105"/>
      <c r="M48" s="105"/>
      <c r="N48" s="105">
        <f>ROUND(N$30*I48,2)</f>
        <v>2.0099999999999998</v>
      </c>
      <c r="O48" s="105">
        <f t="shared" si="0"/>
        <v>2.0099999999999998</v>
      </c>
      <c r="P48" s="245">
        <f>'Rider Rates'!$D$104</f>
        <v>45351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ht="13" x14ac:dyDescent="0.3">
      <c r="A49" s="210" t="s">
        <v>219</v>
      </c>
      <c r="B49" s="78"/>
      <c r="C49" s="78"/>
      <c r="D49" s="195"/>
      <c r="E49" s="113" t="s">
        <v>114</v>
      </c>
      <c r="F49" s="106"/>
      <c r="G49" s="114"/>
      <c r="H49" s="115"/>
      <c r="I49" s="196">
        <f>'Rider Rates'!$B$108</f>
        <v>0</v>
      </c>
      <c r="J49" s="196">
        <f t="shared" ref="J49:J55" si="1">SUM(G49:I49)</f>
        <v>0</v>
      </c>
      <c r="K49" s="104"/>
      <c r="L49" s="105"/>
      <c r="M49" s="105"/>
      <c r="N49" s="105">
        <f>I49</f>
        <v>0</v>
      </c>
      <c r="O49" s="105">
        <f t="shared" ref="O49:O55" si="2">SUM(L49:N49)</f>
        <v>0</v>
      </c>
      <c r="P49" s="245">
        <f>'Rider Rates'!$D$108</f>
        <v>44894</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ht="13" x14ac:dyDescent="0.3">
      <c r="A50" s="210" t="s">
        <v>227</v>
      </c>
      <c r="B50" s="78"/>
      <c r="C50" s="78"/>
      <c r="D50" s="195"/>
      <c r="E50" s="113" t="s">
        <v>114</v>
      </c>
      <c r="F50" s="106"/>
      <c r="G50" s="114"/>
      <c r="H50" s="115"/>
      <c r="I50" s="260">
        <f>'Rider Rates'!B121</f>
        <v>5.83</v>
      </c>
      <c r="J50" s="196">
        <f t="shared" si="1"/>
        <v>5.83</v>
      </c>
      <c r="K50" s="104"/>
      <c r="L50" s="105"/>
      <c r="M50" s="105"/>
      <c r="N50" s="262">
        <f>I50</f>
        <v>5.83</v>
      </c>
      <c r="O50" s="105">
        <f t="shared" si="2"/>
        <v>5.83</v>
      </c>
      <c r="P50" s="245">
        <f>'Rider Rates'!D121</f>
        <v>45226</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210" t="s">
        <v>218</v>
      </c>
      <c r="B51" s="78"/>
      <c r="C51" s="78"/>
      <c r="D51" s="1">
        <f>IF($C$16&lt;1,0,$C$16)</f>
        <v>0</v>
      </c>
      <c r="E51" s="101" t="s">
        <v>41</v>
      </c>
      <c r="F51" s="249" t="s">
        <v>8</v>
      </c>
      <c r="G51" s="165"/>
      <c r="H51" s="165"/>
      <c r="I51" s="251">
        <f>'Rider Rates'!B117</f>
        <v>-6.2E-4</v>
      </c>
      <c r="J51" s="251">
        <f t="shared" si="1"/>
        <v>-6.2E-4</v>
      </c>
      <c r="K51" s="104" t="s">
        <v>42</v>
      </c>
      <c r="L51" s="105"/>
      <c r="M51" s="105"/>
      <c r="N51" s="105">
        <f>D51*I51</f>
        <v>0</v>
      </c>
      <c r="O51" s="105">
        <f t="shared" si="2"/>
        <v>0</v>
      </c>
      <c r="P51" s="245">
        <f>'Rider Rates'!D117</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78" t="s">
        <v>243</v>
      </c>
      <c r="B52" s="78"/>
      <c r="C52" s="78"/>
      <c r="D52" s="100">
        <f>IF(C16&lt;0,0,IF(C16&gt;833000,833000,C16))</f>
        <v>0</v>
      </c>
      <c r="E52" s="101" t="s">
        <v>41</v>
      </c>
      <c r="F52" s="102" t="s">
        <v>8</v>
      </c>
      <c r="G52" s="267"/>
      <c r="H52" s="267"/>
      <c r="I52" s="267">
        <f>'Rider Rates'!$B$125</f>
        <v>2.9050000000000001E-4</v>
      </c>
      <c r="J52" s="267">
        <f t="shared" si="1"/>
        <v>2.9050000000000001E-4</v>
      </c>
      <c r="K52" s="104" t="s">
        <v>42</v>
      </c>
      <c r="L52" s="268"/>
      <c r="M52" s="268"/>
      <c r="N52" s="268">
        <f>IF(D52*J52&gt;'Rider Rates'!$C$125,'Rider Rates'!$C$125,D52*J52)</f>
        <v>0</v>
      </c>
      <c r="O52" s="268">
        <f t="shared" si="2"/>
        <v>0</v>
      </c>
      <c r="P52" s="266">
        <f>'Rider Rates'!$E$125</f>
        <v>45292</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78" t="s">
        <v>244</v>
      </c>
      <c r="B53" s="78"/>
      <c r="C53" s="78"/>
      <c r="D53" s="123">
        <f>IF(C16&gt;833000,C16-833000,0)</f>
        <v>0</v>
      </c>
      <c r="E53" s="101" t="s">
        <v>41</v>
      </c>
      <c r="F53" s="102" t="s">
        <v>8</v>
      </c>
      <c r="G53" s="267"/>
      <c r="H53" s="267"/>
      <c r="I53" s="267">
        <f>'Rider Rates'!$B$126</f>
        <v>0</v>
      </c>
      <c r="J53" s="267">
        <f t="shared" si="1"/>
        <v>0</v>
      </c>
      <c r="K53" s="104" t="s">
        <v>42</v>
      </c>
      <c r="L53" s="268"/>
      <c r="M53" s="268"/>
      <c r="N53" s="268">
        <f>D53*J53</f>
        <v>0</v>
      </c>
      <c r="O53" s="268">
        <f t="shared" si="2"/>
        <v>0</v>
      </c>
      <c r="P53" s="266">
        <f>'Rider Rates'!$E$126</f>
        <v>44927</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252</v>
      </c>
      <c r="B54" s="78"/>
      <c r="C54" s="78"/>
      <c r="D54" s="100">
        <f>D16</f>
        <v>0</v>
      </c>
      <c r="E54" s="101" t="s">
        <v>41</v>
      </c>
      <c r="F54" s="249" t="s">
        <v>8</v>
      </c>
      <c r="G54" s="103"/>
      <c r="H54" s="103"/>
      <c r="I54" s="103">
        <f>'Rider Rates'!$B$130</f>
        <v>0</v>
      </c>
      <c r="J54" s="237">
        <f t="shared" si="1"/>
        <v>0</v>
      </c>
      <c r="K54" s="104" t="s">
        <v>42</v>
      </c>
      <c r="L54" s="105"/>
      <c r="M54" s="105"/>
      <c r="N54" s="105">
        <f>D54*J54</f>
        <v>0</v>
      </c>
      <c r="O54" s="105">
        <f t="shared" si="2"/>
        <v>0</v>
      </c>
      <c r="P54" s="245">
        <f>'Rider Rates'!$D$130</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251</v>
      </c>
      <c r="B55" s="78"/>
      <c r="C55" s="78"/>
      <c r="D55" s="100"/>
      <c r="E55" s="101" t="s">
        <v>114</v>
      </c>
      <c r="F55" s="102" t="s">
        <v>8</v>
      </c>
      <c r="G55" s="265"/>
      <c r="H55" s="265"/>
      <c r="I55" s="265">
        <f>'Rider Rates'!$B$137</f>
        <v>0</v>
      </c>
      <c r="J55" s="265">
        <f t="shared" si="1"/>
        <v>0</v>
      </c>
      <c r="K55" s="104"/>
      <c r="L55" s="209"/>
      <c r="M55" s="209"/>
      <c r="N55" s="209">
        <f>J55</f>
        <v>0</v>
      </c>
      <c r="O55" s="209">
        <f t="shared" si="2"/>
        <v>0</v>
      </c>
      <c r="P55" s="266">
        <f>'Rider Rates'!$D$137</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5">
      <c r="A56" s="241" t="s">
        <v>253</v>
      </c>
      <c r="B56" s="78"/>
      <c r="C56" s="78"/>
      <c r="D56" s="100"/>
      <c r="E56" s="101"/>
      <c r="F56" s="102"/>
      <c r="G56" s="265"/>
      <c r="H56" s="265"/>
      <c r="I56" s="265"/>
      <c r="J56" s="265"/>
      <c r="K56" s="104"/>
      <c r="L56" s="209"/>
      <c r="M56" s="209"/>
      <c r="N56" s="209"/>
      <c r="O56" s="209"/>
      <c r="P56" s="266"/>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ht="13" x14ac:dyDescent="0.3">
      <c r="A57" s="179" t="s">
        <v>70</v>
      </c>
      <c r="B57" s="148"/>
      <c r="C57" s="148"/>
      <c r="D57" s="180"/>
      <c r="E57" s="181"/>
      <c r="F57" s="182"/>
      <c r="G57" s="182"/>
      <c r="H57" s="182"/>
      <c r="I57" s="182"/>
      <c r="J57" s="182"/>
      <c r="K57" s="183"/>
      <c r="L57" s="169">
        <f>SUM(L34:L56)</f>
        <v>0</v>
      </c>
      <c r="M57" s="169">
        <f>SUM(M34:M56)</f>
        <v>0</v>
      </c>
      <c r="N57" s="169">
        <f>SUM(N34:N56)</f>
        <v>24.659999999999997</v>
      </c>
      <c r="O57" s="169">
        <f>SUM(O34:O56)</f>
        <v>24.659999999999997</v>
      </c>
      <c r="P57" s="184"/>
    </row>
    <row r="58" spans="1:221" ht="13" x14ac:dyDescent="0.3">
      <c r="A58" s="37"/>
      <c r="D58" s="1"/>
      <c r="E58" s="35"/>
      <c r="F58" s="4"/>
      <c r="G58" s="42"/>
      <c r="H58" s="42"/>
      <c r="I58" s="42"/>
      <c r="J58" s="42"/>
      <c r="K58" s="36"/>
      <c r="L58" s="36"/>
      <c r="M58" s="36"/>
      <c r="N58" s="36"/>
      <c r="O58" s="34"/>
      <c r="P58" s="36"/>
    </row>
    <row r="59" spans="1:221" ht="13" x14ac:dyDescent="0.3">
      <c r="A59" s="286" t="s">
        <v>71</v>
      </c>
      <c r="B59" s="92"/>
      <c r="C59" s="92"/>
      <c r="D59" s="92"/>
      <c r="E59" s="92"/>
      <c r="F59" s="92"/>
      <c r="G59" s="92"/>
      <c r="H59" s="92"/>
      <c r="I59" s="92"/>
      <c r="J59" s="92"/>
      <c r="K59" s="92"/>
      <c r="L59" s="98">
        <f>L30+L57</f>
        <v>0</v>
      </c>
      <c r="M59" s="98">
        <f>M30+M57</f>
        <v>0</v>
      </c>
      <c r="N59" s="98">
        <f>N30+N57</f>
        <v>34.059999999999995</v>
      </c>
      <c r="O59" s="98">
        <f>O30+O57</f>
        <v>34.059999999999995</v>
      </c>
      <c r="P59" s="98"/>
    </row>
    <row r="60" spans="1:221" ht="13" x14ac:dyDescent="0.3">
      <c r="A60" s="37"/>
      <c r="B60" s="37"/>
      <c r="C60" s="37"/>
      <c r="D60" s="37"/>
      <c r="E60" s="37"/>
      <c r="F60" s="37"/>
      <c r="G60" s="37"/>
      <c r="H60" s="37"/>
      <c r="I60" s="37"/>
      <c r="J60" s="37"/>
      <c r="K60" s="37"/>
      <c r="L60" s="37"/>
      <c r="M60" s="37"/>
      <c r="N60" s="37"/>
      <c r="O60" s="40"/>
      <c r="P60" s="40"/>
    </row>
    <row r="61" spans="1:221" ht="13" x14ac:dyDescent="0.3">
      <c r="A61" s="37" t="s">
        <v>37</v>
      </c>
      <c r="B61" s="37"/>
      <c r="C61" s="37"/>
      <c r="D61" s="37"/>
      <c r="E61" s="37"/>
      <c r="F61" s="37"/>
      <c r="G61" s="37"/>
      <c r="H61" s="37"/>
      <c r="I61" s="37"/>
      <c r="J61" s="37"/>
      <c r="K61" s="37"/>
      <c r="L61" s="37"/>
      <c r="M61" s="37"/>
      <c r="N61" s="37"/>
      <c r="O61" s="45">
        <f>O26+O28+O57</f>
        <v>34.059999999999995</v>
      </c>
      <c r="P61" s="245">
        <v>40967</v>
      </c>
    </row>
    <row r="62" spans="1:221" ht="13" x14ac:dyDescent="0.3">
      <c r="A62" s="37"/>
      <c r="B62" s="37"/>
      <c r="C62" s="37"/>
      <c r="D62" s="37"/>
      <c r="E62" s="37"/>
      <c r="F62" s="37"/>
      <c r="G62" s="46"/>
      <c r="H62" s="46"/>
      <c r="I62" s="46"/>
      <c r="J62" s="46"/>
      <c r="K62" s="36"/>
      <c r="L62" s="36"/>
      <c r="M62" s="36"/>
      <c r="N62" s="36"/>
      <c r="O62" s="40"/>
    </row>
    <row r="63" spans="1:221" ht="13" x14ac:dyDescent="0.3">
      <c r="A63" s="41" t="s">
        <v>116</v>
      </c>
      <c r="B63" s="37"/>
      <c r="C63" s="37"/>
      <c r="D63" s="37"/>
      <c r="E63" s="37"/>
      <c r="F63" s="37"/>
      <c r="G63" s="46"/>
      <c r="H63" s="46"/>
      <c r="I63" s="46"/>
      <c r="J63" s="46"/>
      <c r="K63" s="36"/>
      <c r="L63" s="36"/>
      <c r="M63" s="36"/>
      <c r="N63" s="36"/>
      <c r="O63" s="138">
        <f>MAX($O$59,$O$61)</f>
        <v>34.059999999999995</v>
      </c>
    </row>
    <row r="64" spans="1:221" ht="13" x14ac:dyDescent="0.3">
      <c r="A64" s="37"/>
      <c r="B64" s="37"/>
      <c r="C64" s="37"/>
      <c r="D64" s="37"/>
      <c r="E64" s="37"/>
      <c r="F64" s="37"/>
      <c r="G64" s="46"/>
      <c r="H64" s="46"/>
      <c r="I64" s="46"/>
      <c r="J64" s="46"/>
      <c r="K64" s="36"/>
      <c r="L64" s="36"/>
      <c r="M64" s="36"/>
      <c r="N64" s="36"/>
      <c r="O64" s="40"/>
    </row>
    <row r="65" spans="1:16" ht="13" x14ac:dyDescent="0.3">
      <c r="A65" s="37"/>
      <c r="B65" s="37"/>
      <c r="C65" s="37"/>
      <c r="D65" s="37"/>
      <c r="E65" s="37"/>
      <c r="F65" s="37"/>
      <c r="G65" s="96" t="s">
        <v>85</v>
      </c>
      <c r="H65" s="46"/>
      <c r="I65" s="37"/>
      <c r="J65" s="46"/>
      <c r="K65" s="36"/>
      <c r="L65" s="191"/>
      <c r="M65" s="191"/>
      <c r="N65" s="191"/>
      <c r="O65" s="191">
        <f>ROUND(IF($C$16&lt;1,0,$O$63/($C$16*100)*10000),2)</f>
        <v>0</v>
      </c>
      <c r="P65" s="37" t="s">
        <v>86</v>
      </c>
    </row>
    <row r="66" spans="1:16" ht="13" x14ac:dyDescent="0.3">
      <c r="A66" s="37"/>
      <c r="B66" s="37"/>
      <c r="C66" s="37"/>
      <c r="D66" s="37"/>
      <c r="E66" s="37"/>
      <c r="F66" s="37"/>
      <c r="G66" s="242" t="s">
        <v>199</v>
      </c>
      <c r="H66" s="136"/>
      <c r="I66" s="133"/>
      <c r="J66" s="136"/>
      <c r="K66" s="137"/>
      <c r="L66" s="78"/>
      <c r="M66" s="78"/>
      <c r="N66" s="78"/>
      <c r="O66" s="243">
        <f>ROUND(IF($C$16&lt;1,0,(L59)/($C$16*100)*10000),2)</f>
        <v>0</v>
      </c>
      <c r="P66" s="25" t="s">
        <v>86</v>
      </c>
    </row>
    <row r="67" spans="1:16" ht="13" x14ac:dyDescent="0.3">
      <c r="A67" s="37"/>
      <c r="B67" s="37"/>
      <c r="C67" s="37"/>
      <c r="D67" s="37"/>
      <c r="E67" s="37"/>
      <c r="F67" s="37"/>
      <c r="G67" s="96"/>
      <c r="H67" s="46"/>
      <c r="I67" s="96"/>
      <c r="J67" s="46"/>
      <c r="K67" s="36"/>
      <c r="L67" s="36"/>
      <c r="M67" s="36"/>
      <c r="N67" s="36"/>
      <c r="O67" s="130"/>
      <c r="P67" s="37"/>
    </row>
    <row r="68" spans="1:16" ht="20.25" customHeight="1" x14ac:dyDescent="0.4">
      <c r="A68" s="3"/>
      <c r="B68" s="37"/>
      <c r="C68" s="37"/>
      <c r="D68" s="228" t="str">
        <f>IF('Customer Info'!$C$32=TRUE,"Notice: Billing Charge does not include Self Assessed KWH Tax"," ")</f>
        <v xml:space="preserve"> </v>
      </c>
      <c r="E68" s="3"/>
      <c r="F68" s="4"/>
      <c r="G68" s="121"/>
      <c r="H68" s="55"/>
      <c r="I68" s="34"/>
      <c r="J68" s="55"/>
      <c r="K68" s="37"/>
      <c r="L68" s="37"/>
      <c r="M68" s="37"/>
      <c r="N68" s="34"/>
    </row>
    <row r="69" spans="1:16" ht="13" x14ac:dyDescent="0.3">
      <c r="A69" s="37"/>
      <c r="B69" s="37"/>
      <c r="C69" s="37"/>
      <c r="D69" s="54"/>
      <c r="E69" s="3"/>
      <c r="F69" s="4"/>
      <c r="G69" s="55"/>
      <c r="H69" s="55"/>
      <c r="I69" s="93"/>
      <c r="J69" s="55"/>
      <c r="K69" s="37"/>
      <c r="L69" s="37"/>
      <c r="M69" s="37"/>
      <c r="N69" s="37"/>
      <c r="O69" s="40"/>
    </row>
    <row r="70" spans="1:16" ht="13" x14ac:dyDescent="0.3">
      <c r="A70" s="37"/>
      <c r="B70" s="37"/>
      <c r="C70" s="37"/>
      <c r="D70" s="54"/>
      <c r="E70" s="3"/>
      <c r="F70" s="4"/>
      <c r="G70" s="55"/>
      <c r="H70" s="55"/>
      <c r="I70" s="55"/>
      <c r="J70" s="55"/>
      <c r="K70" s="37"/>
      <c r="L70" s="37"/>
      <c r="M70" s="37"/>
      <c r="N70" s="37"/>
      <c r="O70" s="40"/>
    </row>
    <row r="71" spans="1:16" ht="13" x14ac:dyDescent="0.3">
      <c r="A71" s="41"/>
      <c r="B71" s="37"/>
      <c r="C71" s="37"/>
      <c r="D71" s="37"/>
      <c r="E71" s="37"/>
      <c r="F71" s="37"/>
      <c r="G71" s="37"/>
      <c r="H71" s="37"/>
      <c r="J71" s="37"/>
      <c r="K71" s="37"/>
      <c r="L71" s="40"/>
      <c r="M71" s="40"/>
      <c r="N71" s="40"/>
      <c r="O71" s="138"/>
    </row>
    <row r="72" spans="1:16" ht="13" x14ac:dyDescent="0.3">
      <c r="B72" s="37"/>
      <c r="C72" s="37"/>
      <c r="D72" s="37"/>
      <c r="E72" s="37"/>
      <c r="F72" s="37"/>
      <c r="G72" s="96"/>
      <c r="H72" s="37"/>
      <c r="I72" s="37"/>
      <c r="J72" s="37"/>
      <c r="K72" s="37"/>
      <c r="L72" s="60"/>
      <c r="M72" s="60"/>
      <c r="N72" s="60"/>
      <c r="O72" s="130"/>
      <c r="P72" s="37"/>
    </row>
    <row r="73" spans="1:16" ht="13" x14ac:dyDescent="0.3">
      <c r="G73" s="133"/>
      <c r="H73" s="56"/>
      <c r="I73" s="133"/>
      <c r="J73" s="56"/>
      <c r="K73" s="56"/>
      <c r="L73" s="134"/>
      <c r="M73" s="134"/>
      <c r="N73" s="134"/>
      <c r="O73" s="135"/>
      <c r="P73" s="25"/>
    </row>
    <row r="75" spans="1:16" x14ac:dyDescent="0.25">
      <c r="A75" s="434"/>
    </row>
    <row r="76" spans="1:16" x14ac:dyDescent="0.25">
      <c r="A76" s="434"/>
    </row>
    <row r="77" spans="1:16" x14ac:dyDescent="0.25">
      <c r="A77" s="434"/>
    </row>
    <row r="78" spans="1:16" x14ac:dyDescent="0.25">
      <c r="A78" s="434"/>
    </row>
    <row r="79" spans="1:16" x14ac:dyDescent="0.25">
      <c r="A79" s="434"/>
    </row>
    <row r="80" spans="1:1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row r="89" spans="1:1" x14ac:dyDescent="0.25">
      <c r="A89" s="434"/>
    </row>
  </sheetData>
  <sheetProtection algorithmName="SHA-512" hashValue="rB22I3CTx0yfEif0AKB9JHXDKuyYLQ6ERhH3iRv4aPeeRDN1w3z5VSEAmh9mJ1PepuTGkCUQ2QTnj7+Gq2HTnw==" saltValue="fHIlgR1Y6eyNFlaGM0dtNA==" spinCount="100000" sheet="1" objects="1" scenarios="1"/>
  <mergeCells count="26">
    <mergeCell ref="A75:A89"/>
    <mergeCell ref="A4:P4"/>
    <mergeCell ref="A7:P7"/>
    <mergeCell ref="A11:I11"/>
    <mergeCell ref="D21:H21"/>
    <mergeCell ref="D22:H22"/>
    <mergeCell ref="G24:J24"/>
    <mergeCell ref="L24:O24"/>
    <mergeCell ref="FU2:GJ2"/>
    <mergeCell ref="GK2:GZ2"/>
    <mergeCell ref="HA2:HP2"/>
    <mergeCell ref="HQ2:IF2"/>
    <mergeCell ref="IG2:IV2"/>
    <mergeCell ref="A3:P3"/>
    <mergeCell ref="CC2:CR2"/>
    <mergeCell ref="CS2:DH2"/>
    <mergeCell ref="DI2:DX2"/>
    <mergeCell ref="DY2:EN2"/>
    <mergeCell ref="EO2:FD2"/>
    <mergeCell ref="FE2:FT2"/>
    <mergeCell ref="A1:P1"/>
    <mergeCell ref="A2:P2"/>
    <mergeCell ref="Q2:AF2"/>
    <mergeCell ref="AG2:AV2"/>
    <mergeCell ref="AW2:BL2"/>
    <mergeCell ref="BM2:CB2"/>
  </mergeCells>
  <printOptions horizontalCentered="1"/>
  <pageMargins left="0.5" right="0.5" top="0.25" bottom="0.25" header="0.25" footer="0.26"/>
  <pageSetup scale="60" orientation="landscape" r:id="rId1"/>
  <headerFooter alignWithMargins="0"/>
  <rowBreaks count="1" manualBreakCount="1">
    <brk id="7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122882" r:id="rId5" name="Button 2">
              <controlPr defaultSize="0" print="0" autoFill="0" autoPict="0" macro="[0]!Info">
                <anchor moveWithCells="1">
                  <from>
                    <xdr:col>15</xdr:col>
                    <xdr:colOff>279400</xdr:colOff>
                    <xdr:row>83</xdr:row>
                    <xdr:rowOff>50800</xdr:rowOff>
                  </from>
                  <to>
                    <xdr:col>16</xdr:col>
                    <xdr:colOff>31750</xdr:colOff>
                    <xdr:row>84</xdr:row>
                    <xdr:rowOff>88900</xdr:rowOff>
                  </to>
                </anchor>
              </controlPr>
            </control>
          </mc:Choice>
        </mc:AlternateContent>
        <mc:AlternateContent xmlns:mc="http://schemas.openxmlformats.org/markup-compatibility/2006">
          <mc:Choice Requires="x14">
            <control shapeId="122883"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2884"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2885"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2886"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2887"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2888"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2889"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2890"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2891"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2892"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2893"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2894"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2895"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2896"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2897"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2898"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2899"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2900"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2901"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2902"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2903"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2904"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2905"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2906"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2907"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2908"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2909"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2910"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2911"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2912"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2913"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2914"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2915"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2916"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2917"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2918"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2919"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2920"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2921"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2922"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2923"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2924"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2925"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2926"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2927"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2928"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2929"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2930"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2931"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2932"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2933"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2934"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2935"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22936"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22937"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22938"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V89"/>
  <sheetViews>
    <sheetView showGridLines="0" zoomScale="80" zoomScaleNormal="80" workbookViewId="0">
      <selection activeCell="I28" sqref="I28"/>
    </sheetView>
  </sheetViews>
  <sheetFormatPr defaultRowHeight="12.5" x14ac:dyDescent="0.25"/>
  <cols>
    <col min="1" max="1" width="31" customWidth="1"/>
    <col min="2" max="2" width="2.1796875" customWidth="1"/>
    <col min="3" max="3" width="19.26953125" customWidth="1"/>
    <col min="4" max="4" width="15.26953125" customWidth="1"/>
    <col min="5" max="5" width="9.81640625" customWidth="1"/>
    <col min="6" max="6" width="3.7265625" customWidth="1"/>
    <col min="7" max="8" width="13.26953125" customWidth="1"/>
    <col min="9" max="9" width="14.54296875" customWidth="1"/>
    <col min="10" max="10" width="13.26953125" customWidth="1"/>
    <col min="11" max="11" width="7" customWidth="1"/>
    <col min="12" max="12" width="15.1796875" customWidth="1"/>
    <col min="13" max="14" width="14.453125" customWidth="1"/>
    <col min="15" max="15" width="16.26953125" bestFit="1" customWidth="1"/>
    <col min="16" max="16" width="13.81640625" bestFit="1" customWidth="1"/>
    <col min="18" max="26" width="9.1796875" hidden="1" customWidth="1"/>
    <col min="27" max="27" width="10.54296875" hidden="1" customWidth="1"/>
    <col min="28" max="29" width="9.1796875" hidden="1" customWidth="1"/>
    <col min="30" max="30" width="10" hidden="1" customWidth="1"/>
    <col min="31" max="31" width="0" hidden="1" customWidth="1"/>
  </cols>
  <sheetData>
    <row r="1" spans="1:256" ht="20" x14ac:dyDescent="0.4">
      <c r="A1" s="451" t="s">
        <v>119</v>
      </c>
      <c r="B1" s="451"/>
      <c r="C1" s="451"/>
      <c r="D1" s="451"/>
      <c r="E1" s="451"/>
      <c r="F1" s="451"/>
      <c r="G1" s="451"/>
      <c r="H1" s="451"/>
      <c r="I1" s="451"/>
      <c r="J1" s="451"/>
      <c r="K1" s="451"/>
      <c r="L1" s="451"/>
      <c r="M1" s="451"/>
      <c r="N1" s="451"/>
      <c r="O1" s="451"/>
      <c r="P1" s="451"/>
    </row>
    <row r="2" spans="1:256" ht="20" x14ac:dyDescent="0.4">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436"/>
      <c r="HZ2" s="436"/>
      <c r="IA2" s="436"/>
      <c r="IB2" s="436"/>
      <c r="IC2" s="436"/>
      <c r="ID2" s="436"/>
      <c r="IE2" s="436"/>
      <c r="IF2" s="436"/>
      <c r="IG2" s="436"/>
      <c r="IH2" s="436"/>
      <c r="II2" s="436"/>
      <c r="IJ2" s="436"/>
      <c r="IK2" s="436"/>
      <c r="IL2" s="436"/>
      <c r="IM2" s="436"/>
      <c r="IN2" s="436"/>
      <c r="IO2" s="436"/>
      <c r="IP2" s="436"/>
      <c r="IQ2" s="436"/>
      <c r="IR2" s="436"/>
      <c r="IS2" s="436"/>
      <c r="IT2" s="436"/>
      <c r="IU2" s="436"/>
      <c r="IV2" s="436"/>
    </row>
    <row r="3" spans="1:256" ht="18" x14ac:dyDescent="0.4">
      <c r="A3" s="452" t="s">
        <v>325</v>
      </c>
      <c r="B3" s="452"/>
      <c r="C3" s="452"/>
      <c r="D3" s="452"/>
      <c r="E3" s="452"/>
      <c r="F3" s="452"/>
      <c r="G3" s="452"/>
      <c r="H3" s="452"/>
      <c r="I3" s="452"/>
      <c r="J3" s="452"/>
      <c r="K3" s="452"/>
      <c r="L3" s="452"/>
      <c r="M3" s="452"/>
      <c r="N3" s="452"/>
      <c r="O3" s="452"/>
      <c r="P3" s="452"/>
    </row>
    <row r="4" spans="1:256"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256" ht="15.5" x14ac:dyDescent="0.35">
      <c r="A5" s="75"/>
      <c r="B5" s="75"/>
      <c r="C5" s="75"/>
      <c r="D5" s="75"/>
      <c r="E5" s="75"/>
      <c r="F5" s="75"/>
      <c r="G5" s="75"/>
      <c r="H5" s="75"/>
      <c r="I5" s="75"/>
      <c r="J5" s="75"/>
      <c r="K5" s="75"/>
    </row>
    <row r="6" spans="1:256" x14ac:dyDescent="0.25">
      <c r="A6" s="284">
        <f ca="1">TODAY()</f>
        <v>45378</v>
      </c>
      <c r="B6" s="210" t="s">
        <v>302</v>
      </c>
      <c r="C6" s="276"/>
      <c r="D6" s="276"/>
      <c r="E6" s="276"/>
      <c r="F6" s="276"/>
      <c r="G6" s="276"/>
      <c r="H6" s="276"/>
      <c r="I6" s="276"/>
      <c r="J6" s="276"/>
      <c r="K6" s="276"/>
    </row>
    <row r="7" spans="1:256" ht="25" x14ac:dyDescent="0.5">
      <c r="A7" s="453"/>
      <c r="B7" s="453"/>
      <c r="C7" s="453"/>
      <c r="D7" s="453"/>
      <c r="E7" s="453"/>
      <c r="F7" s="453"/>
      <c r="G7" s="453"/>
      <c r="H7" s="453"/>
      <c r="I7" s="453"/>
      <c r="J7" s="453"/>
      <c r="K7" s="453"/>
      <c r="L7" s="453"/>
      <c r="M7" s="453"/>
      <c r="N7" s="453"/>
      <c r="O7" s="453"/>
      <c r="P7" s="453"/>
    </row>
    <row r="8" spans="1:256" ht="15.5" x14ac:dyDescent="0.35">
      <c r="A8" s="23" t="s">
        <v>2</v>
      </c>
      <c r="B8" s="24"/>
      <c r="C8" s="25">
        <f>'Customer Info'!B7</f>
        <v>0</v>
      </c>
      <c r="I8" s="26"/>
    </row>
    <row r="9" spans="1:256" ht="15.5" x14ac:dyDescent="0.35">
      <c r="A9" s="27" t="s">
        <v>26</v>
      </c>
      <c r="B9" s="24"/>
      <c r="C9" s="25">
        <f>'Customer Info'!B8</f>
        <v>0</v>
      </c>
    </row>
    <row r="10" spans="1:256" ht="13" x14ac:dyDescent="0.3">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3">
      <c r="A11" s="446"/>
      <c r="B11" s="446"/>
      <c r="C11" s="446"/>
      <c r="D11" s="446"/>
      <c r="E11" s="446"/>
      <c r="F11" s="446"/>
      <c r="G11" s="446"/>
      <c r="H11" s="446"/>
      <c r="I11" s="446"/>
      <c r="R11" t="s">
        <v>114</v>
      </c>
      <c r="S11" s="145" t="s">
        <v>101</v>
      </c>
      <c r="T11" s="145" t="s">
        <v>102</v>
      </c>
      <c r="U11" s="145" t="s">
        <v>103</v>
      </c>
      <c r="V11" s="145" t="s">
        <v>104</v>
      </c>
      <c r="W11" s="145" t="s">
        <v>105</v>
      </c>
      <c r="X11" s="145" t="s">
        <v>106</v>
      </c>
      <c r="Y11" s="145" t="s">
        <v>107</v>
      </c>
      <c r="Z11" s="145" t="s">
        <v>108</v>
      </c>
      <c r="AA11" s="145" t="s">
        <v>109</v>
      </c>
      <c r="AB11" s="145" t="s">
        <v>111</v>
      </c>
      <c r="AC11" s="145" t="s">
        <v>110</v>
      </c>
      <c r="AD11" s="145" t="s">
        <v>112</v>
      </c>
    </row>
    <row r="12" spans="1:256" ht="13" x14ac:dyDescent="0.3">
      <c r="A12" s="28" t="s">
        <v>27</v>
      </c>
      <c r="B12" s="22"/>
      <c r="C12" s="22"/>
      <c r="D12" s="22"/>
      <c r="E12" s="22"/>
      <c r="F12" s="22"/>
      <c r="G12" s="22"/>
      <c r="H12" s="22"/>
      <c r="I12" s="22"/>
      <c r="J12" s="22"/>
      <c r="K12" s="22"/>
      <c r="L12" s="22"/>
      <c r="M12" s="22"/>
      <c r="N12" s="22"/>
      <c r="O12" s="22"/>
      <c r="P12" s="22"/>
      <c r="R12" s="3" t="s">
        <v>196</v>
      </c>
      <c r="S12" s="207">
        <f>'Rider Rates'!$C$24</f>
        <v>0.10234</v>
      </c>
      <c r="T12" s="207">
        <f>'Rider Rates'!$C$24</f>
        <v>0.10234</v>
      </c>
      <c r="U12" s="207">
        <f>'Rider Rates'!$C$24</f>
        <v>0.10234</v>
      </c>
      <c r="V12" s="207">
        <f>'Rider Rates'!$C$24</f>
        <v>0.10234</v>
      </c>
      <c r="W12" s="207">
        <f>'Rider Rates'!$C$24</f>
        <v>0.10234</v>
      </c>
      <c r="X12" s="207">
        <f>'Rider Rates'!$B$24</f>
        <v>0.10234</v>
      </c>
      <c r="Y12" s="207">
        <f>'Rider Rates'!$B$24</f>
        <v>0.10234</v>
      </c>
      <c r="Z12" s="207">
        <f>'Rider Rates'!$B$24</f>
        <v>0.10234</v>
      </c>
      <c r="AA12" s="207">
        <f>'Rider Rates'!$B$24</f>
        <v>0.10234</v>
      </c>
      <c r="AB12" s="207">
        <f>'Rider Rates'!$C$24</f>
        <v>0.10234</v>
      </c>
      <c r="AC12" s="207">
        <f>'Rider Rates'!$C$24</f>
        <v>0.10234</v>
      </c>
      <c r="AD12" s="207">
        <f>'Rider Rates'!$C$24</f>
        <v>0.10234</v>
      </c>
      <c r="AE12" s="207"/>
      <c r="AF12" s="207"/>
    </row>
    <row r="13" spans="1:256" x14ac:dyDescent="0.25">
      <c r="A13" s="18"/>
      <c r="B13" s="18"/>
      <c r="C13" s="59" t="s">
        <v>54</v>
      </c>
      <c r="D13" s="59" t="s">
        <v>55</v>
      </c>
      <c r="E13" s="18"/>
      <c r="F13" s="18"/>
      <c r="G13" s="18"/>
      <c r="H13" s="18"/>
      <c r="I13" s="18"/>
      <c r="J13" s="18"/>
      <c r="K13" s="18"/>
      <c r="L13" s="18"/>
      <c r="M13" s="18"/>
      <c r="N13" s="18"/>
      <c r="O13" s="18"/>
    </row>
    <row r="14" spans="1:256" x14ac:dyDescent="0.25">
      <c r="A14" s="29" t="s">
        <v>28</v>
      </c>
      <c r="B14" s="29"/>
      <c r="C14" s="44">
        <f>'Customer Info'!B18</f>
        <v>0</v>
      </c>
      <c r="D14" s="44">
        <f>ROUND(C14*C20,1)</f>
        <v>0</v>
      </c>
      <c r="E14" s="29" t="s">
        <v>45</v>
      </c>
      <c r="F14" s="30"/>
      <c r="G14" s="29" t="s">
        <v>15</v>
      </c>
      <c r="I14" s="53" t="s">
        <v>15</v>
      </c>
      <c r="J14" s="29"/>
      <c r="K14" s="29"/>
      <c r="L14" s="29"/>
      <c r="M14" s="29"/>
      <c r="N14" s="29"/>
    </row>
    <row r="15" spans="1:256" x14ac:dyDescent="0.25">
      <c r="A15" s="31" t="s">
        <v>29</v>
      </c>
      <c r="B15" s="31"/>
      <c r="C15" s="44">
        <f>'Customer Info'!B19</f>
        <v>0</v>
      </c>
      <c r="D15" s="44">
        <f>C15*C20</f>
        <v>0</v>
      </c>
      <c r="E15" s="29" t="s">
        <v>45</v>
      </c>
      <c r="F15" s="33"/>
      <c r="G15" s="31" t="s">
        <v>30</v>
      </c>
      <c r="I15" s="51" t="str">
        <f>IF(MAX(C14,C15)&gt;0,C16/(MAX(C14,C15)*730), " ")</f>
        <v xml:space="preserve"> </v>
      </c>
      <c r="J15" s="31"/>
      <c r="K15" s="31"/>
      <c r="L15" s="31"/>
      <c r="M15" s="31"/>
      <c r="N15" s="31"/>
      <c r="X15" s="207"/>
      <c r="Y15" s="207"/>
      <c r="Z15" s="207"/>
      <c r="AA15" s="207"/>
    </row>
    <row r="16" spans="1:256" x14ac:dyDescent="0.25">
      <c r="A16" s="31" t="s">
        <v>43</v>
      </c>
      <c r="B16" s="31"/>
      <c r="C16" s="32">
        <f>IF('Customer Info'!B21+'Customer Info'!B22-'Customer Info'!B23&lt;0,0,'Customer Info'!B21+'Customer Info'!B22-'Customer Info'!B23)</f>
        <v>0</v>
      </c>
      <c r="D16" s="32">
        <f>C16*C20</f>
        <v>0</v>
      </c>
      <c r="E16" s="31" t="s">
        <v>41</v>
      </c>
      <c r="F16" s="33"/>
      <c r="G16" s="31"/>
      <c r="H16" s="31"/>
      <c r="I16" s="31"/>
      <c r="J16" s="31"/>
      <c r="K16" s="31"/>
      <c r="L16" s="31"/>
      <c r="M16" s="31"/>
      <c r="N16" s="31"/>
      <c r="O16" s="31"/>
    </row>
    <row r="17" spans="1:30" x14ac:dyDescent="0.25">
      <c r="A17" s="31" t="s">
        <v>295</v>
      </c>
      <c r="B17" s="31"/>
      <c r="C17" s="32">
        <f>'Customer Info'!$B$27</f>
        <v>0</v>
      </c>
      <c r="D17" s="32">
        <f>$C$17</f>
        <v>0</v>
      </c>
      <c r="E17" s="31" t="s">
        <v>298</v>
      </c>
      <c r="F17" s="33"/>
      <c r="G17" s="31"/>
      <c r="H17" s="31"/>
      <c r="I17" s="31"/>
      <c r="J17" s="31"/>
      <c r="K17" s="31"/>
      <c r="L17" s="31"/>
      <c r="M17" s="31"/>
      <c r="N17" s="31"/>
      <c r="O17" s="31"/>
    </row>
    <row r="18" spans="1:30" x14ac:dyDescent="0.25">
      <c r="A18" s="31" t="s">
        <v>296</v>
      </c>
      <c r="B18" s="31"/>
      <c r="C18" s="287">
        <f>IF('Customer Info'!$B$18=0,0,ROUND(MAX(ROUND('Customer Info'!$B$18*'GS PRI OAD'!C20,1),ROUND('Customer Info'!$B$19*'GS PRI OAD'!C20,1))/'Customer Info'!$D$29,1))</f>
        <v>0</v>
      </c>
      <c r="D18" s="287">
        <f>$C$18</f>
        <v>0</v>
      </c>
      <c r="E18" s="31" t="s">
        <v>299</v>
      </c>
      <c r="F18" s="33"/>
      <c r="G18" s="31"/>
      <c r="H18" s="31"/>
      <c r="I18" s="31"/>
      <c r="J18" s="31"/>
      <c r="K18" s="31"/>
      <c r="L18" s="31"/>
      <c r="M18" s="31"/>
      <c r="N18" s="31"/>
      <c r="O18" s="31"/>
    </row>
    <row r="19" spans="1:30" x14ac:dyDescent="0.25">
      <c r="A19" s="31" t="s">
        <v>297</v>
      </c>
      <c r="B19" s="31"/>
      <c r="C19" s="32"/>
      <c r="D19" s="287">
        <f>MAX(100,ROUND(1.15*(MAX('Customer Info'!$B$18*'GS PRI OAD'!C20,'Customer Info'!$B$19*'GS PRI OAD'!C20)),1))</f>
        <v>100</v>
      </c>
      <c r="E19" s="31" t="s">
        <v>299</v>
      </c>
      <c r="F19" s="33"/>
      <c r="K19" s="31"/>
      <c r="L19" s="31"/>
      <c r="M19" s="31"/>
      <c r="N19" s="31"/>
    </row>
    <row r="20" spans="1:30" ht="13" x14ac:dyDescent="0.3">
      <c r="A20" s="31" t="s">
        <v>53</v>
      </c>
      <c r="B20" s="31"/>
      <c r="C20" s="58">
        <f>+'Customer Info'!E18</f>
        <v>1</v>
      </c>
      <c r="D20" s="31"/>
      <c r="E20" s="31"/>
      <c r="F20" s="33"/>
      <c r="G20" s="23"/>
      <c r="H20" s="23"/>
      <c r="I20" s="23"/>
      <c r="J20" s="23"/>
      <c r="K20" s="31"/>
      <c r="L20" s="31"/>
      <c r="M20" s="31"/>
      <c r="N20" s="31"/>
      <c r="S20" s="207"/>
      <c r="T20" s="207"/>
      <c r="U20" s="207"/>
      <c r="V20" s="207"/>
      <c r="W20" s="207"/>
      <c r="X20" s="207"/>
      <c r="Y20" s="207"/>
      <c r="Z20" s="207"/>
      <c r="AA20" s="207"/>
      <c r="AB20" s="207"/>
      <c r="AC20" s="207"/>
      <c r="AD20" s="207"/>
    </row>
    <row r="21" spans="1:30" x14ac:dyDescent="0.25">
      <c r="A21" s="31" t="s">
        <v>15</v>
      </c>
      <c r="B21" s="31"/>
      <c r="C21" s="82" t="s">
        <v>15</v>
      </c>
      <c r="D21" s="455" t="s">
        <v>15</v>
      </c>
      <c r="E21" s="455"/>
      <c r="F21" s="455"/>
      <c r="G21" s="455"/>
      <c r="H21" s="455"/>
      <c r="K21" s="31"/>
      <c r="L21" s="31"/>
      <c r="M21" s="31"/>
      <c r="N21" s="31"/>
      <c r="O21" s="50"/>
    </row>
    <row r="22" spans="1:30" ht="13" x14ac:dyDescent="0.3">
      <c r="A22" s="31" t="s">
        <v>15</v>
      </c>
      <c r="B22" s="31"/>
      <c r="C22" s="82" t="s">
        <v>15</v>
      </c>
      <c r="D22" s="455" t="s">
        <v>15</v>
      </c>
      <c r="E22" s="455"/>
      <c r="F22" s="455"/>
      <c r="G22" s="455"/>
      <c r="H22" s="455"/>
      <c r="I22" s="23"/>
      <c r="J22" s="23"/>
      <c r="K22" s="31"/>
      <c r="L22" s="31"/>
      <c r="M22" s="31"/>
      <c r="N22" s="31"/>
      <c r="O22" s="50"/>
    </row>
    <row r="23" spans="1:30" ht="13" x14ac:dyDescent="0.3">
      <c r="A23" s="31"/>
      <c r="B23" s="31"/>
      <c r="C23" s="33"/>
      <c r="D23" s="33"/>
      <c r="E23" s="33"/>
      <c r="F23" s="33"/>
      <c r="G23" s="23"/>
      <c r="H23" s="23"/>
      <c r="I23" s="23"/>
      <c r="J23" s="23"/>
      <c r="K23" s="31"/>
      <c r="L23" s="31"/>
      <c r="M23" s="31"/>
      <c r="N23" s="31"/>
      <c r="O23" s="31"/>
    </row>
    <row r="24" spans="1:30" ht="13" x14ac:dyDescent="0.3">
      <c r="A24" s="28" t="s">
        <v>31</v>
      </c>
      <c r="B24" s="22"/>
      <c r="C24" s="22"/>
      <c r="D24" s="22"/>
      <c r="E24" s="22"/>
      <c r="F24" s="22"/>
      <c r="G24" s="447" t="s">
        <v>67</v>
      </c>
      <c r="H24" s="448"/>
      <c r="I24" s="448"/>
      <c r="J24" s="449"/>
      <c r="K24" s="22"/>
      <c r="L24" s="450" t="s">
        <v>68</v>
      </c>
      <c r="M24" s="450"/>
      <c r="N24" s="450"/>
      <c r="O24" s="450"/>
    </row>
    <row r="25" spans="1:30" ht="13" x14ac:dyDescent="0.3">
      <c r="A25" s="18"/>
      <c r="B25" s="18"/>
      <c r="C25" s="18"/>
      <c r="D25" s="18"/>
      <c r="E25" s="18"/>
      <c r="F25" s="18"/>
      <c r="G25" s="8" t="s">
        <v>64</v>
      </c>
      <c r="H25" s="8" t="s">
        <v>65</v>
      </c>
      <c r="I25" s="8" t="s">
        <v>66</v>
      </c>
      <c r="J25" s="112" t="s">
        <v>34</v>
      </c>
      <c r="K25" s="18"/>
      <c r="L25" s="285" t="s">
        <v>64</v>
      </c>
      <c r="M25" s="285" t="s">
        <v>65</v>
      </c>
      <c r="N25" s="285" t="s">
        <v>66</v>
      </c>
      <c r="O25" s="132" t="s">
        <v>34</v>
      </c>
      <c r="P25" s="43" t="s">
        <v>56</v>
      </c>
    </row>
    <row r="26" spans="1:30" x14ac:dyDescent="0.25">
      <c r="A26" t="s">
        <v>32</v>
      </c>
      <c r="G26" s="86"/>
      <c r="H26" s="86"/>
      <c r="I26" s="86">
        <v>138.5</v>
      </c>
      <c r="J26" s="86">
        <f>SUM(G26:I26)</f>
        <v>138.5</v>
      </c>
      <c r="L26" s="88"/>
      <c r="M26" s="88"/>
      <c r="N26" s="88">
        <f>I26</f>
        <v>138.5</v>
      </c>
      <c r="O26" s="209">
        <f>SUM(L26:N26)</f>
        <v>138.5</v>
      </c>
      <c r="P26" s="245">
        <v>44531</v>
      </c>
    </row>
    <row r="27" spans="1:30" x14ac:dyDescent="0.25">
      <c r="A27" t="s">
        <v>132</v>
      </c>
      <c r="D27" s="1">
        <f>D16</f>
        <v>0</v>
      </c>
      <c r="E27" s="101" t="s">
        <v>41</v>
      </c>
      <c r="F27" s="102" t="s">
        <v>8</v>
      </c>
      <c r="G27" s="84"/>
      <c r="H27" s="86"/>
      <c r="I27" s="86"/>
      <c r="J27" s="84"/>
      <c r="K27" s="104" t="s">
        <v>42</v>
      </c>
      <c r="L27" s="87"/>
      <c r="M27" s="88"/>
      <c r="N27" s="87"/>
      <c r="O27" s="209"/>
      <c r="P27" s="245"/>
    </row>
    <row r="28" spans="1:30" x14ac:dyDescent="0.25">
      <c r="A28" t="s">
        <v>33</v>
      </c>
      <c r="D28" s="49">
        <f>ROUND(MAX(D14,D15,('Customer Info'!B14-100)*0.6,('Customer Info'!B16-100)*0.6),1)</f>
        <v>0</v>
      </c>
      <c r="E28" s="29" t="s">
        <v>45</v>
      </c>
      <c r="F28" s="4" t="s">
        <v>8</v>
      </c>
      <c r="G28" s="85"/>
      <c r="H28" s="85"/>
      <c r="I28" s="85">
        <v>6.17</v>
      </c>
      <c r="J28" s="85">
        <f>SUM(G28:I28)</f>
        <v>6.17</v>
      </c>
      <c r="K28" s="36" t="s">
        <v>44</v>
      </c>
      <c r="L28" s="87"/>
      <c r="M28" s="87"/>
      <c r="N28" s="87">
        <f>ROUND($D28*I28,2)</f>
        <v>0</v>
      </c>
      <c r="O28" s="209">
        <f>SUM(L28:N28)</f>
        <v>0</v>
      </c>
      <c r="P28" s="245">
        <v>45261</v>
      </c>
    </row>
    <row r="29" spans="1:30" x14ac:dyDescent="0.25">
      <c r="A29" t="s">
        <v>272</v>
      </c>
      <c r="D29" s="49">
        <f>IF(D18&lt;=100,0,ROUND(IF(D18-D19&gt;0,D18-D19),1))</f>
        <v>0</v>
      </c>
      <c r="E29" s="29" t="s">
        <v>270</v>
      </c>
      <c r="F29" s="4" t="s">
        <v>8</v>
      </c>
      <c r="G29" s="116"/>
      <c r="H29" s="85"/>
      <c r="I29" s="85">
        <v>1.21</v>
      </c>
      <c r="J29" s="116">
        <f>SUM(G29:I29)</f>
        <v>1.21</v>
      </c>
      <c r="K29" s="36" t="s">
        <v>44</v>
      </c>
      <c r="L29" s="87"/>
      <c r="M29" s="87"/>
      <c r="N29" s="87">
        <f>ROUND($D29*I29,2)</f>
        <v>0</v>
      </c>
      <c r="O29" s="87">
        <f>SUM(L29:N29)</f>
        <v>0</v>
      </c>
      <c r="P29" s="245">
        <v>44531</v>
      </c>
    </row>
    <row r="30" spans="1:30" ht="13" x14ac:dyDescent="0.3">
      <c r="A30" s="37" t="s">
        <v>50</v>
      </c>
      <c r="B30" s="37"/>
      <c r="C30" s="37"/>
      <c r="D30" s="38"/>
      <c r="E30" s="38"/>
      <c r="F30" s="37"/>
      <c r="G30" s="37"/>
      <c r="H30" s="37"/>
      <c r="I30" s="37"/>
      <c r="J30" s="37"/>
      <c r="K30" s="39"/>
      <c r="L30" s="40"/>
      <c r="M30" s="40"/>
      <c r="N30" s="40">
        <f>SUM(N26:N29)</f>
        <v>138.5</v>
      </c>
      <c r="O30" s="40">
        <f>SUM(O26:O29)</f>
        <v>138.5</v>
      </c>
    </row>
    <row r="31" spans="1:30" ht="13" x14ac:dyDescent="0.3">
      <c r="A31" s="89"/>
      <c r="B31" s="89"/>
      <c r="C31" s="90"/>
      <c r="D31" s="90"/>
      <c r="E31" s="90"/>
      <c r="F31" s="90"/>
      <c r="G31" s="91"/>
      <c r="H31" s="91"/>
      <c r="I31" s="91"/>
      <c r="J31" s="91"/>
      <c r="K31" s="89"/>
      <c r="L31" s="89"/>
      <c r="M31" s="89"/>
      <c r="N31" s="89"/>
      <c r="O31" s="89"/>
      <c r="P31" s="89"/>
    </row>
    <row r="32" spans="1:30" ht="13" x14ac:dyDescent="0.3">
      <c r="A32" s="41" t="s">
        <v>69</v>
      </c>
      <c r="D32" s="1"/>
      <c r="E32" s="1"/>
      <c r="K32" s="36"/>
      <c r="L32" s="36"/>
      <c r="M32" s="36"/>
      <c r="N32" s="36"/>
      <c r="O32" s="34"/>
      <c r="P32" s="34"/>
    </row>
    <row r="33" spans="1:221" ht="13" x14ac:dyDescent="0.3">
      <c r="A33" s="37"/>
      <c r="D33" s="1"/>
      <c r="E33" s="1"/>
      <c r="K33" s="36"/>
      <c r="L33" s="36"/>
      <c r="M33" s="36"/>
      <c r="N33" s="36"/>
      <c r="O33" s="34"/>
    </row>
    <row r="34" spans="1:221" x14ac:dyDescent="0.25">
      <c r="A34" s="78" t="s">
        <v>78</v>
      </c>
      <c r="D34" s="1">
        <f>IF($C$16&lt;0,0,IF($C$16&gt;833000,833000,$C$16))</f>
        <v>0</v>
      </c>
      <c r="E34" s="35" t="s">
        <v>41</v>
      </c>
      <c r="F34" s="4" t="s">
        <v>8</v>
      </c>
      <c r="G34" s="83"/>
      <c r="H34" s="84"/>
      <c r="I34" s="103">
        <f>'Rider Rates'!$B$4</f>
        <v>5.9216E-3</v>
      </c>
      <c r="J34" s="6">
        <f>SUM(G34:I34)</f>
        <v>5.9216E-3</v>
      </c>
      <c r="K34" s="36" t="s">
        <v>42</v>
      </c>
      <c r="L34" s="87"/>
      <c r="M34" s="87"/>
      <c r="N34" s="87">
        <f>ROUND($D34*I34,2)</f>
        <v>0</v>
      </c>
      <c r="O34" s="87">
        <f>SUM(L34:N34)</f>
        <v>0</v>
      </c>
      <c r="P34" s="245">
        <f>'Rider Rates'!$D$4</f>
        <v>45293</v>
      </c>
    </row>
    <row r="35" spans="1:221" x14ac:dyDescent="0.25">
      <c r="A35" s="78" t="s">
        <v>79</v>
      </c>
      <c r="D35" s="1">
        <f>IF($C$16-833000&gt;0,$C$16-D34,0)</f>
        <v>0</v>
      </c>
      <c r="E35" s="35" t="s">
        <v>41</v>
      </c>
      <c r="F35" s="4" t="s">
        <v>8</v>
      </c>
      <c r="G35" s="83"/>
      <c r="H35" s="84"/>
      <c r="I35" s="103">
        <f>'Rider Rates'!$B$5</f>
        <v>1.7560000000000001E-4</v>
      </c>
      <c r="J35" s="118">
        <f>SUM(G35:I35)</f>
        <v>1.7560000000000001E-4</v>
      </c>
      <c r="K35" s="36" t="s">
        <v>42</v>
      </c>
      <c r="L35" s="87"/>
      <c r="M35" s="87"/>
      <c r="N35" s="87">
        <f>ROUND($D35*I35,2)</f>
        <v>0</v>
      </c>
      <c r="O35" s="87">
        <f>SUM(L35:N35)</f>
        <v>0</v>
      </c>
      <c r="P35" s="245">
        <f>'Rider Rates'!$D$4</f>
        <v>45293</v>
      </c>
    </row>
    <row r="36" spans="1:221" x14ac:dyDescent="0.25">
      <c r="A36" s="78" t="s">
        <v>47</v>
      </c>
      <c r="B36" t="s">
        <v>15</v>
      </c>
      <c r="D36" s="1">
        <f>IF('Customer Info'!$C$32=TRUE,0,IF(C16&lt;0,0,IF(C16&gt;2000,2000,C16)))</f>
        <v>0</v>
      </c>
      <c r="E36" s="35" t="s">
        <v>41</v>
      </c>
      <c r="F36" s="4" t="s">
        <v>8</v>
      </c>
      <c r="G36" s="83"/>
      <c r="H36" s="84"/>
      <c r="I36" s="177">
        <f>'Rider Rates'!$B$8</f>
        <v>4.6499999999999996E-3</v>
      </c>
      <c r="J36" s="117">
        <f>SUM(G36:I36)</f>
        <v>4.6499999999999996E-3</v>
      </c>
      <c r="K36" s="36" t="s">
        <v>42</v>
      </c>
      <c r="L36" s="87"/>
      <c r="M36" s="87"/>
      <c r="N36" s="87">
        <f>ROUND($D36*I36,2)</f>
        <v>0</v>
      </c>
      <c r="O36" s="87">
        <f>SUM(L36:N36)</f>
        <v>0</v>
      </c>
      <c r="P36" s="245">
        <f>'Rider Rates'!$D$7</f>
        <v>44531</v>
      </c>
    </row>
    <row r="37" spans="1:221" x14ac:dyDescent="0.25">
      <c r="A37" s="78" t="s">
        <v>48</v>
      </c>
      <c r="B37" t="s">
        <v>15</v>
      </c>
      <c r="D37" s="1">
        <f>IF('Customer Info'!$C$32=TRUE,0,IF(C16&gt;15000,13000,IF(C16&gt;2000,C16-2000,0)))</f>
        <v>0</v>
      </c>
      <c r="E37" s="35" t="s">
        <v>41</v>
      </c>
      <c r="F37" s="4" t="s">
        <v>8</v>
      </c>
      <c r="G37" s="83"/>
      <c r="H37" s="84"/>
      <c r="I37" s="177">
        <f>'Rider Rates'!$B$9</f>
        <v>4.1900000000000001E-3</v>
      </c>
      <c r="J37" s="117">
        <f>SUM(G37:I37)</f>
        <v>4.1900000000000001E-3</v>
      </c>
      <c r="K37" s="36" t="s">
        <v>42</v>
      </c>
      <c r="L37" s="87"/>
      <c r="M37" s="87"/>
      <c r="N37" s="87">
        <f>ROUND($D37*I37,2)</f>
        <v>0</v>
      </c>
      <c r="O37" s="87">
        <f>SUM(L37:N37)</f>
        <v>0</v>
      </c>
      <c r="P37" s="245">
        <f>'Rider Rates'!$D$7</f>
        <v>44531</v>
      </c>
    </row>
    <row r="38" spans="1:221" x14ac:dyDescent="0.25">
      <c r="A38" s="78" t="s">
        <v>49</v>
      </c>
      <c r="B38" t="s">
        <v>15</v>
      </c>
      <c r="D38" s="1">
        <f>IF('Customer Info'!$C$32=TRUE,0,IF(C16-D36-D37&gt;0,C16-D36-D37,0))</f>
        <v>0</v>
      </c>
      <c r="E38" s="35" t="s">
        <v>41</v>
      </c>
      <c r="F38" s="4" t="s">
        <v>8</v>
      </c>
      <c r="G38" s="83"/>
      <c r="H38" s="84"/>
      <c r="I38" s="177">
        <f>'Rider Rates'!$B$10</f>
        <v>3.63E-3</v>
      </c>
      <c r="J38" s="117">
        <f>SUM(G38:I38)</f>
        <v>3.63E-3</v>
      </c>
      <c r="K38" s="36" t="s">
        <v>42</v>
      </c>
      <c r="L38" s="87"/>
      <c r="M38" s="87"/>
      <c r="N38" s="87">
        <f>ROUND($D38*I38,2)</f>
        <v>0</v>
      </c>
      <c r="O38" s="87">
        <f>SUM(L38:N38)</f>
        <v>0</v>
      </c>
      <c r="P38" s="245">
        <f>'Rider Rates'!$D$7</f>
        <v>44531</v>
      </c>
    </row>
    <row r="39" spans="1:221" ht="13" x14ac:dyDescent="0.3">
      <c r="A39" s="241" t="s">
        <v>247</v>
      </c>
      <c r="B39" s="78"/>
      <c r="C39" s="78"/>
      <c r="D39" s="208">
        <f>$N$30</f>
        <v>138.5</v>
      </c>
      <c r="E39" s="101" t="s">
        <v>121</v>
      </c>
      <c r="F39" s="102" t="s">
        <v>8</v>
      </c>
      <c r="G39" s="103"/>
      <c r="H39" s="103"/>
      <c r="I39" s="178">
        <f>'Rider Rates'!$B$18+'Rider Rates'!$E$18</f>
        <v>0</v>
      </c>
      <c r="J39" s="120">
        <f>SUM(H39:I39)</f>
        <v>0</v>
      </c>
      <c r="K39" s="104"/>
      <c r="L39" s="105"/>
      <c r="M39" s="105"/>
      <c r="N39" s="105">
        <f>ROUND($D$39*'Rider Rates'!$B$18,2)+ROUND($D$39*'Rider Rates'!$E$18,2)</f>
        <v>0</v>
      </c>
      <c r="O39" s="105">
        <f t="shared" ref="O39:O48" si="0">SUM(L39:N39)</f>
        <v>0</v>
      </c>
      <c r="P39" s="245">
        <f>MAX('Rider Rates'!$D$18,'Rider Rates'!$F$18)</f>
        <v>44531</v>
      </c>
    </row>
    <row r="40" spans="1:221" x14ac:dyDescent="0.25">
      <c r="A40" s="241" t="s">
        <v>220</v>
      </c>
      <c r="B40" s="78"/>
      <c r="C40" s="78"/>
      <c r="D40" s="1">
        <f>IF($C$16&lt;0,0,IF($C$16&gt;833000,833000,$C$16))</f>
        <v>0</v>
      </c>
      <c r="E40" s="101" t="s">
        <v>41</v>
      </c>
      <c r="F40" s="102" t="s">
        <v>8</v>
      </c>
      <c r="G40" s="103"/>
      <c r="H40" s="103"/>
      <c r="I40" s="103">
        <f>'Rider Rates'!D50</f>
        <v>1.7826999999999999E-3</v>
      </c>
      <c r="J40" s="103">
        <f>SUM(G40:I40)</f>
        <v>1.7826999999999999E-3</v>
      </c>
      <c r="K40" s="104" t="s">
        <v>42</v>
      </c>
      <c r="L40" s="105"/>
      <c r="M40" s="105"/>
      <c r="N40" s="87">
        <f>D40*J40</f>
        <v>0</v>
      </c>
      <c r="O40" s="105">
        <f t="shared" si="0"/>
        <v>0</v>
      </c>
      <c r="P40" s="245">
        <f>'Rider Rates'!E50</f>
        <v>45292</v>
      </c>
    </row>
    <row r="41" spans="1:221" x14ac:dyDescent="0.25">
      <c r="A41" s="210" t="s">
        <v>198</v>
      </c>
      <c r="B41" s="78"/>
      <c r="C41" s="78"/>
      <c r="D41" s="1">
        <f>IF($C$16&lt;0,0,$C$16)</f>
        <v>0</v>
      </c>
      <c r="E41" s="113" t="s">
        <v>41</v>
      </c>
      <c r="F41" s="102" t="s">
        <v>8</v>
      </c>
      <c r="G41" s="103"/>
      <c r="H41" s="103">
        <f>'Rider Rates'!B59</f>
        <v>5.8060000000000002E-4</v>
      </c>
      <c r="I41" s="103"/>
      <c r="J41" s="103">
        <f>SUM(G41:I41)</f>
        <v>5.8060000000000002E-4</v>
      </c>
      <c r="K41" s="104" t="s">
        <v>42</v>
      </c>
      <c r="L41" s="105"/>
      <c r="M41" s="105">
        <f>ROUND(D41*H41,2)</f>
        <v>0</v>
      </c>
      <c r="N41" s="205"/>
      <c r="O41" s="105">
        <f t="shared" si="0"/>
        <v>0</v>
      </c>
      <c r="P41" s="245">
        <f>'Rider Rates'!$D$58</f>
        <v>45383</v>
      </c>
    </row>
    <row r="42" spans="1:221" x14ac:dyDescent="0.25">
      <c r="A42" s="210" t="s">
        <v>198</v>
      </c>
      <c r="B42" s="78"/>
      <c r="C42" s="78"/>
      <c r="D42" s="49">
        <f>D28</f>
        <v>0</v>
      </c>
      <c r="E42" s="35" t="s">
        <v>63</v>
      </c>
      <c r="F42" s="4" t="s">
        <v>8</v>
      </c>
      <c r="G42" s="103"/>
      <c r="H42" s="239">
        <f>'Rider Rates'!B64</f>
        <v>6.76</v>
      </c>
      <c r="I42" s="103"/>
      <c r="J42" s="239">
        <f>SUM(G42:I42)</f>
        <v>6.76</v>
      </c>
      <c r="K42" s="104" t="s">
        <v>44</v>
      </c>
      <c r="L42" s="105"/>
      <c r="M42" s="105">
        <f>ROUND(D42*H42,2)</f>
        <v>0</v>
      </c>
      <c r="N42" s="205"/>
      <c r="O42" s="105">
        <f t="shared" si="0"/>
        <v>0</v>
      </c>
      <c r="P42" s="245">
        <f>'Rider Rates'!$D$63</f>
        <v>45383</v>
      </c>
    </row>
    <row r="43" spans="1:221" x14ac:dyDescent="0.25">
      <c r="A43" s="99" t="s">
        <v>82</v>
      </c>
      <c r="B43" s="78"/>
      <c r="C43" s="78"/>
      <c r="D43" s="1">
        <f>IF('Customer Info'!C34=TRUE,0,IF($C$16&lt;0,0,$C$16))</f>
        <v>0</v>
      </c>
      <c r="E43" s="101" t="s">
        <v>41</v>
      </c>
      <c r="F43" s="102" t="s">
        <v>8</v>
      </c>
      <c r="G43" s="103"/>
      <c r="H43" s="103"/>
      <c r="I43" s="103">
        <f>'Rider Rates'!$B$70+'Rider Rates'!$C$70</f>
        <v>0</v>
      </c>
      <c r="J43" s="103">
        <f>SUM(G43:I43)</f>
        <v>0</v>
      </c>
      <c r="K43" s="104" t="s">
        <v>42</v>
      </c>
      <c r="L43" s="105"/>
      <c r="M43" s="105"/>
      <c r="N43" s="87">
        <f>ROUND($D$43*'Rider Rates'!$B$70,2)+ROUND($D$43*'Rider Rates'!$C$70,2)</f>
        <v>0</v>
      </c>
      <c r="O43" s="209">
        <f t="shared" si="0"/>
        <v>0</v>
      </c>
      <c r="P43" s="245">
        <f>'Rider Rates'!$D$70</f>
        <v>44531</v>
      </c>
      <c r="Q43" s="107"/>
      <c r="R43" s="108"/>
      <c r="S43" s="109"/>
      <c r="T43" s="78"/>
      <c r="U43" s="110"/>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row>
    <row r="44" spans="1:221" x14ac:dyDescent="0.25">
      <c r="A44" s="99" t="s">
        <v>82</v>
      </c>
      <c r="B44" s="78"/>
      <c r="C44" s="78"/>
      <c r="D44" s="49">
        <f>IF('Customer Info'!C34=TRUE,0,$D$28)</f>
        <v>0</v>
      </c>
      <c r="E44" s="101" t="s">
        <v>45</v>
      </c>
      <c r="F44" s="102" t="s">
        <v>8</v>
      </c>
      <c r="G44" s="103"/>
      <c r="H44" s="103"/>
      <c r="I44" s="239">
        <f>'Rider Rates'!$B$80</f>
        <v>0</v>
      </c>
      <c r="J44" s="239">
        <f>SUM(G44:I44)</f>
        <v>0</v>
      </c>
      <c r="K44" s="104" t="s">
        <v>42</v>
      </c>
      <c r="L44" s="105"/>
      <c r="M44" s="105"/>
      <c r="N44" s="87">
        <f>ROUND($D44*I44,2)</f>
        <v>0</v>
      </c>
      <c r="O44" s="209">
        <f>SUM(L44:N44)</f>
        <v>0</v>
      </c>
      <c r="P44" s="245">
        <f>'Rider Rates'!$D$80</f>
        <v>44531</v>
      </c>
      <c r="Q44" s="107"/>
      <c r="R44" s="108"/>
      <c r="S44" s="109"/>
      <c r="T44" s="78"/>
      <c r="U44" s="110"/>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row>
    <row r="45" spans="1:221" ht="13" x14ac:dyDescent="0.3">
      <c r="A45" s="99" t="s">
        <v>80</v>
      </c>
      <c r="B45" s="78"/>
      <c r="C45" s="78"/>
      <c r="D45" s="208">
        <f>$N$30</f>
        <v>138.5</v>
      </c>
      <c r="E45" s="101" t="s">
        <v>121</v>
      </c>
      <c r="F45" s="102" t="s">
        <v>8</v>
      </c>
      <c r="G45" s="111"/>
      <c r="H45" s="112"/>
      <c r="I45" s="120">
        <f>'Rider Rates'!$B$84</f>
        <v>2.9347000000000002E-2</v>
      </c>
      <c r="J45" s="120">
        <f>SUM(H45:I45)</f>
        <v>2.9347000000000002E-2</v>
      </c>
      <c r="K45" s="104"/>
      <c r="L45" s="105"/>
      <c r="M45" s="105"/>
      <c r="N45" s="105">
        <f>ROUND(N$30*I45,2)</f>
        <v>4.0599999999999996</v>
      </c>
      <c r="O45" s="209">
        <f t="shared" si="0"/>
        <v>4.0599999999999996</v>
      </c>
      <c r="P45" s="245">
        <f>'Rider Rates'!$D$84</f>
        <v>45383</v>
      </c>
      <c r="Q45" s="107"/>
      <c r="R45" s="108"/>
      <c r="S45" s="109"/>
      <c r="T45" s="78"/>
      <c r="U45" s="110"/>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1" ht="13" x14ac:dyDescent="0.3">
      <c r="A46" s="99" t="s">
        <v>81</v>
      </c>
      <c r="B46" s="78"/>
      <c r="C46" s="78"/>
      <c r="D46" s="208">
        <f>$N$30</f>
        <v>138.5</v>
      </c>
      <c r="E46" s="101" t="s">
        <v>121</v>
      </c>
      <c r="F46" s="102" t="s">
        <v>8</v>
      </c>
      <c r="G46" s="114"/>
      <c r="H46" s="115"/>
      <c r="I46" s="120">
        <f>'Rider Rates'!$B$86</f>
        <v>6.6985699999999995E-2</v>
      </c>
      <c r="J46" s="120">
        <f>SUM(H46:I46)</f>
        <v>6.6985699999999995E-2</v>
      </c>
      <c r="K46" s="104"/>
      <c r="L46" s="105"/>
      <c r="M46" s="105"/>
      <c r="N46" s="105">
        <f>ROUND(N$30*I46,2)</f>
        <v>9.2799999999999994</v>
      </c>
      <c r="O46" s="209">
        <f t="shared" si="0"/>
        <v>9.2799999999999994</v>
      </c>
      <c r="P46" s="245">
        <f>'Rider Rates'!$D$86</f>
        <v>45167</v>
      </c>
      <c r="Q46" s="107"/>
      <c r="R46" s="108"/>
      <c r="S46" s="109"/>
      <c r="T46" s="78"/>
      <c r="U46" s="110"/>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row>
    <row r="47" spans="1:221" ht="13" x14ac:dyDescent="0.3">
      <c r="A47" s="210" t="s">
        <v>216</v>
      </c>
      <c r="B47" s="78"/>
      <c r="C47" s="78"/>
      <c r="D47" s="195"/>
      <c r="E47" s="113" t="s">
        <v>114</v>
      </c>
      <c r="F47" s="106"/>
      <c r="G47" s="114"/>
      <c r="H47" s="115"/>
      <c r="I47" s="196">
        <f>'Rider Rates'!$B$90</f>
        <v>15.91</v>
      </c>
      <c r="J47" s="196">
        <f>SUM(G47:I47)</f>
        <v>15.91</v>
      </c>
      <c r="K47" s="104"/>
      <c r="L47" s="105"/>
      <c r="M47" s="105"/>
      <c r="N47" s="105">
        <f>I47</f>
        <v>15.91</v>
      </c>
      <c r="O47" s="105">
        <f>SUM(L47:N47)</f>
        <v>15.91</v>
      </c>
      <c r="P47" s="245">
        <f>'Rider Rates'!$D$90</f>
        <v>45351</v>
      </c>
    </row>
    <row r="48" spans="1:221" ht="13" x14ac:dyDescent="0.3">
      <c r="A48" s="99" t="s">
        <v>157</v>
      </c>
      <c r="B48" s="78"/>
      <c r="C48" s="78"/>
      <c r="D48" s="208">
        <f>$N$30</f>
        <v>138.5</v>
      </c>
      <c r="E48" s="101" t="s">
        <v>121</v>
      </c>
      <c r="F48" s="102" t="s">
        <v>8</v>
      </c>
      <c r="G48" s="114"/>
      <c r="H48" s="115"/>
      <c r="I48" s="120">
        <f>'Rider Rates'!$B$104</f>
        <v>0.21398439999999999</v>
      </c>
      <c r="J48" s="120">
        <f>SUM(H48:I48)</f>
        <v>0.21398439999999999</v>
      </c>
      <c r="K48" s="104"/>
      <c r="L48" s="105"/>
      <c r="M48" s="105"/>
      <c r="N48" s="105">
        <f>ROUND(N$30*I48,2)</f>
        <v>29.64</v>
      </c>
      <c r="O48" s="105">
        <f t="shared" si="0"/>
        <v>29.64</v>
      </c>
      <c r="P48" s="245">
        <f>'Rider Rates'!$D$104</f>
        <v>45351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ht="13" x14ac:dyDescent="0.3">
      <c r="A49" s="210" t="s">
        <v>219</v>
      </c>
      <c r="B49" s="78"/>
      <c r="C49" s="78"/>
      <c r="D49" s="195"/>
      <c r="E49" s="113" t="s">
        <v>114</v>
      </c>
      <c r="F49" s="106"/>
      <c r="G49" s="114"/>
      <c r="H49" s="115"/>
      <c r="I49" s="196">
        <f>'Rider Rates'!$B$108</f>
        <v>0</v>
      </c>
      <c r="J49" s="196">
        <f t="shared" ref="J49:J55" si="1">SUM(G49:I49)</f>
        <v>0</v>
      </c>
      <c r="K49" s="104"/>
      <c r="L49" s="105"/>
      <c r="M49" s="105"/>
      <c r="N49" s="105">
        <f>I49</f>
        <v>0</v>
      </c>
      <c r="O49" s="105">
        <f t="shared" ref="O49:O55" si="2">SUM(L49:N49)</f>
        <v>0</v>
      </c>
      <c r="P49" s="245">
        <f>'Rider Rates'!$D$108</f>
        <v>44894</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ht="13" x14ac:dyDescent="0.3">
      <c r="A50" s="210" t="s">
        <v>227</v>
      </c>
      <c r="B50" s="78"/>
      <c r="C50" s="78"/>
      <c r="D50" s="195"/>
      <c r="E50" s="113" t="s">
        <v>114</v>
      </c>
      <c r="F50" s="106"/>
      <c r="G50" s="114"/>
      <c r="H50" s="115"/>
      <c r="I50" s="260">
        <f>'Rider Rates'!B121</f>
        <v>5.83</v>
      </c>
      <c r="J50" s="196">
        <f t="shared" si="1"/>
        <v>5.83</v>
      </c>
      <c r="K50" s="104"/>
      <c r="L50" s="105"/>
      <c r="M50" s="105"/>
      <c r="N50" s="262">
        <f>I50</f>
        <v>5.83</v>
      </c>
      <c r="O50" s="105">
        <f t="shared" si="2"/>
        <v>5.83</v>
      </c>
      <c r="P50" s="245">
        <f>'Rider Rates'!D121</f>
        <v>45226</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210" t="s">
        <v>218</v>
      </c>
      <c r="B51" s="78"/>
      <c r="C51" s="78"/>
      <c r="D51" s="1">
        <f>IF($C$16&lt;1,0,$C$16)</f>
        <v>0</v>
      </c>
      <c r="E51" s="101" t="s">
        <v>41</v>
      </c>
      <c r="F51" s="249" t="s">
        <v>8</v>
      </c>
      <c r="G51" s="165"/>
      <c r="H51" s="165"/>
      <c r="I51" s="251">
        <f>'Rider Rates'!B117</f>
        <v>-6.2E-4</v>
      </c>
      <c r="J51" s="251">
        <f t="shared" si="1"/>
        <v>-6.2E-4</v>
      </c>
      <c r="K51" s="104" t="s">
        <v>42</v>
      </c>
      <c r="L51" s="105"/>
      <c r="M51" s="105"/>
      <c r="N51" s="105">
        <f>D51*I51</f>
        <v>0</v>
      </c>
      <c r="O51" s="105">
        <f t="shared" si="2"/>
        <v>0</v>
      </c>
      <c r="P51" s="245">
        <f>'Rider Rates'!D117</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78" t="s">
        <v>243</v>
      </c>
      <c r="B52" s="78"/>
      <c r="C52" s="78"/>
      <c r="D52" s="100">
        <f>IF(C16&lt;0,0,IF(C16&gt;833000,833000,C16))</f>
        <v>0</v>
      </c>
      <c r="E52" s="101" t="s">
        <v>41</v>
      </c>
      <c r="F52" s="102" t="s">
        <v>8</v>
      </c>
      <c r="G52" s="267"/>
      <c r="H52" s="267"/>
      <c r="I52" s="267">
        <f>'Rider Rates'!$B$125</f>
        <v>2.9050000000000001E-4</v>
      </c>
      <c r="J52" s="267">
        <f t="shared" si="1"/>
        <v>2.9050000000000001E-4</v>
      </c>
      <c r="K52" s="104" t="s">
        <v>42</v>
      </c>
      <c r="L52" s="268"/>
      <c r="M52" s="268"/>
      <c r="N52" s="268">
        <f>IF(D52*J52&gt;'Rider Rates'!$C$125,'Rider Rates'!$C$125,D52*J52)</f>
        <v>0</v>
      </c>
      <c r="O52" s="268">
        <f t="shared" si="2"/>
        <v>0</v>
      </c>
      <c r="P52" s="266">
        <f>'Rider Rates'!$E$125</f>
        <v>45292</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78" t="s">
        <v>244</v>
      </c>
      <c r="B53" s="78"/>
      <c r="C53" s="78"/>
      <c r="D53" s="123">
        <f>IF(C16&gt;833000,C16-833000,0)</f>
        <v>0</v>
      </c>
      <c r="E53" s="101" t="s">
        <v>41</v>
      </c>
      <c r="F53" s="102" t="s">
        <v>8</v>
      </c>
      <c r="G53" s="267"/>
      <c r="H53" s="267"/>
      <c r="I53" s="267">
        <f>'Rider Rates'!$B$126</f>
        <v>0</v>
      </c>
      <c r="J53" s="267">
        <f t="shared" si="1"/>
        <v>0</v>
      </c>
      <c r="K53" s="104" t="s">
        <v>42</v>
      </c>
      <c r="L53" s="268"/>
      <c r="M53" s="268"/>
      <c r="N53" s="268">
        <f>D53*J53</f>
        <v>0</v>
      </c>
      <c r="O53" s="268">
        <f t="shared" si="2"/>
        <v>0</v>
      </c>
      <c r="P53" s="266">
        <f>'Rider Rates'!$E$126</f>
        <v>44927</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252</v>
      </c>
      <c r="B54" s="78"/>
      <c r="C54" s="78"/>
      <c r="D54" s="100">
        <f>D16</f>
        <v>0</v>
      </c>
      <c r="E54" s="101" t="s">
        <v>41</v>
      </c>
      <c r="F54" s="249" t="s">
        <v>8</v>
      </c>
      <c r="G54" s="103"/>
      <c r="H54" s="103"/>
      <c r="I54" s="103">
        <f>'Rider Rates'!$B$132</f>
        <v>0</v>
      </c>
      <c r="J54" s="237">
        <f t="shared" si="1"/>
        <v>0</v>
      </c>
      <c r="K54" s="104" t="s">
        <v>42</v>
      </c>
      <c r="L54" s="105"/>
      <c r="M54" s="105"/>
      <c r="N54" s="105">
        <f>D54*J54</f>
        <v>0</v>
      </c>
      <c r="O54" s="105">
        <f t="shared" si="2"/>
        <v>0</v>
      </c>
      <c r="P54" s="245">
        <f>'Rider Rates'!$D$130</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251</v>
      </c>
      <c r="B55" s="78"/>
      <c r="C55" s="78"/>
      <c r="D55" s="100"/>
      <c r="E55" s="101" t="s">
        <v>114</v>
      </c>
      <c r="F55" s="102" t="s">
        <v>8</v>
      </c>
      <c r="G55" s="265"/>
      <c r="H55" s="265"/>
      <c r="I55" s="265">
        <f>'Rider Rates'!$B$137</f>
        <v>0</v>
      </c>
      <c r="J55" s="265">
        <f t="shared" si="1"/>
        <v>0</v>
      </c>
      <c r="K55" s="104"/>
      <c r="L55" s="209"/>
      <c r="M55" s="209"/>
      <c r="N55" s="209">
        <f>J55</f>
        <v>0</v>
      </c>
      <c r="O55" s="209">
        <f t="shared" si="2"/>
        <v>0</v>
      </c>
      <c r="P55" s="266">
        <f>'Rider Rates'!$D$137</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5">
      <c r="A56" s="241" t="s">
        <v>253</v>
      </c>
      <c r="B56" s="78"/>
      <c r="C56" s="78"/>
      <c r="D56" s="100"/>
      <c r="E56" s="101"/>
      <c r="F56" s="102"/>
      <c r="G56" s="265"/>
      <c r="H56" s="265"/>
      <c r="I56" s="265"/>
      <c r="J56" s="265"/>
      <c r="K56" s="104"/>
      <c r="L56" s="209"/>
      <c r="M56" s="209"/>
      <c r="N56" s="209"/>
      <c r="O56" s="209"/>
      <c r="P56" s="266"/>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ht="13" x14ac:dyDescent="0.3">
      <c r="A57" s="179" t="s">
        <v>70</v>
      </c>
      <c r="B57" s="148"/>
      <c r="C57" s="148"/>
      <c r="D57" s="180"/>
      <c r="E57" s="181"/>
      <c r="F57" s="182"/>
      <c r="G57" s="182"/>
      <c r="H57" s="182"/>
      <c r="I57" s="182"/>
      <c r="J57" s="182"/>
      <c r="K57" s="183"/>
      <c r="L57" s="169">
        <f>SUM(L34:L56)</f>
        <v>0</v>
      </c>
      <c r="M57" s="169">
        <f>SUM(M34:M56)</f>
        <v>0</v>
      </c>
      <c r="N57" s="169">
        <f>SUM(N34:N56)</f>
        <v>64.72</v>
      </c>
      <c r="O57" s="169">
        <f>SUM(O34:O56)</f>
        <v>64.72</v>
      </c>
      <c r="P57" s="184"/>
    </row>
    <row r="58" spans="1:221" ht="13" x14ac:dyDescent="0.3">
      <c r="A58" s="37"/>
      <c r="D58" s="1"/>
      <c r="E58" s="35"/>
      <c r="F58" s="4"/>
      <c r="G58" s="42"/>
      <c r="H58" s="42"/>
      <c r="I58" s="42"/>
      <c r="J58" s="42"/>
      <c r="K58" s="36"/>
      <c r="L58" s="36"/>
      <c r="M58" s="36"/>
      <c r="N58" s="36"/>
      <c r="O58" s="34"/>
      <c r="P58" s="36"/>
    </row>
    <row r="59" spans="1:221" ht="13" x14ac:dyDescent="0.3">
      <c r="A59" s="286" t="s">
        <v>71</v>
      </c>
      <c r="B59" s="92"/>
      <c r="C59" s="92"/>
      <c r="D59" s="92"/>
      <c r="E59" s="92"/>
      <c r="F59" s="92"/>
      <c r="G59" s="92"/>
      <c r="H59" s="92"/>
      <c r="I59" s="92"/>
      <c r="J59" s="92"/>
      <c r="K59" s="92"/>
      <c r="L59" s="98">
        <f>L30+L57</f>
        <v>0</v>
      </c>
      <c r="M59" s="98">
        <f>M30+M57</f>
        <v>0</v>
      </c>
      <c r="N59" s="98">
        <f>N30+N57</f>
        <v>203.22</v>
      </c>
      <c r="O59" s="98">
        <f>O30+O57</f>
        <v>203.22</v>
      </c>
      <c r="P59" s="98"/>
    </row>
    <row r="60" spans="1:221" ht="13" x14ac:dyDescent="0.3">
      <c r="A60" s="37"/>
      <c r="B60" s="37"/>
      <c r="C60" s="37"/>
      <c r="D60" s="37"/>
      <c r="E60" s="37"/>
      <c r="F60" s="37"/>
      <c r="G60" s="37"/>
      <c r="H60" s="37"/>
      <c r="I60" s="37"/>
      <c r="J60" s="37"/>
      <c r="K60" s="37"/>
      <c r="L60" s="37"/>
      <c r="M60" s="37"/>
      <c r="N60" s="37"/>
      <c r="O60" s="40"/>
      <c r="P60" s="40"/>
    </row>
    <row r="61" spans="1:221" ht="13" x14ac:dyDescent="0.3">
      <c r="A61" s="37" t="s">
        <v>37</v>
      </c>
      <c r="B61" s="37"/>
      <c r="C61" s="37"/>
      <c r="D61" s="37"/>
      <c r="E61" s="37"/>
      <c r="F61" s="37"/>
      <c r="G61" s="37"/>
      <c r="H61" s="37"/>
      <c r="I61" s="37"/>
      <c r="J61" s="37"/>
      <c r="K61" s="37"/>
      <c r="L61" s="37"/>
      <c r="M61" s="37"/>
      <c r="N61" s="37"/>
      <c r="O61" s="45">
        <f>O26+O28+O57</f>
        <v>203.22</v>
      </c>
      <c r="P61" s="245">
        <v>40967</v>
      </c>
    </row>
    <row r="62" spans="1:221" ht="13" x14ac:dyDescent="0.3">
      <c r="A62" s="37"/>
      <c r="B62" s="37"/>
      <c r="C62" s="37"/>
      <c r="D62" s="37"/>
      <c r="E62" s="37"/>
      <c r="F62" s="37"/>
      <c r="G62" s="46"/>
      <c r="H62" s="46"/>
      <c r="I62" s="46"/>
      <c r="J62" s="46"/>
      <c r="K62" s="36"/>
      <c r="L62" s="36"/>
      <c r="M62" s="36"/>
      <c r="N62" s="36"/>
      <c r="O62" s="40"/>
    </row>
    <row r="63" spans="1:221" ht="13" x14ac:dyDescent="0.3">
      <c r="A63" s="41" t="s">
        <v>116</v>
      </c>
      <c r="B63" s="37"/>
      <c r="C63" s="37"/>
      <c r="D63" s="37"/>
      <c r="E63" s="37"/>
      <c r="F63" s="37"/>
      <c r="G63" s="46"/>
      <c r="H63" s="46"/>
      <c r="I63" s="46"/>
      <c r="J63" s="46"/>
      <c r="K63" s="36"/>
      <c r="L63" s="36"/>
      <c r="M63" s="36"/>
      <c r="N63" s="36"/>
      <c r="O63" s="138">
        <f>MAX($O$59,$O$61)</f>
        <v>203.22</v>
      </c>
    </row>
    <row r="64" spans="1:221" ht="13" x14ac:dyDescent="0.3">
      <c r="A64" s="37"/>
      <c r="B64" s="37"/>
      <c r="C64" s="37"/>
      <c r="D64" s="37"/>
      <c r="E64" s="37"/>
      <c r="F64" s="37"/>
      <c r="G64" s="46"/>
      <c r="H64" s="46"/>
      <c r="I64" s="46"/>
      <c r="J64" s="46"/>
      <c r="K64" s="36"/>
      <c r="L64" s="36"/>
      <c r="M64" s="36"/>
      <c r="N64" s="36"/>
      <c r="O64" s="40"/>
    </row>
    <row r="65" spans="1:16" ht="13" x14ac:dyDescent="0.3">
      <c r="A65" s="37"/>
      <c r="B65" s="37"/>
      <c r="C65" s="37"/>
      <c r="D65" s="37"/>
      <c r="E65" s="37"/>
      <c r="F65" s="37"/>
      <c r="G65" s="96" t="s">
        <v>85</v>
      </c>
      <c r="H65" s="46"/>
      <c r="I65" s="37"/>
      <c r="J65" s="46"/>
      <c r="K65" s="36"/>
      <c r="L65" s="191"/>
      <c r="M65" s="191"/>
      <c r="N65" s="191"/>
      <c r="O65" s="191">
        <f>ROUND(IF($C$16&lt;1,0,$O$63/($C$16*100)*10000),2)</f>
        <v>0</v>
      </c>
      <c r="P65" s="37" t="s">
        <v>86</v>
      </c>
    </row>
    <row r="66" spans="1:16" ht="13" x14ac:dyDescent="0.3">
      <c r="A66" s="37"/>
      <c r="B66" s="37"/>
      <c r="C66" s="37"/>
      <c r="D66" s="37"/>
      <c r="E66" s="37"/>
      <c r="F66" s="37"/>
      <c r="G66" s="242" t="s">
        <v>199</v>
      </c>
      <c r="H66" s="136"/>
      <c r="I66" s="133"/>
      <c r="J66" s="136"/>
      <c r="K66" s="137"/>
      <c r="L66" s="78"/>
      <c r="M66" s="78"/>
      <c r="N66" s="78"/>
      <c r="O66" s="243">
        <f>ROUND(IF($C$16&lt;1,0,(L59)/($C$16*100)*10000),2)</f>
        <v>0</v>
      </c>
      <c r="P66" s="25" t="s">
        <v>86</v>
      </c>
    </row>
    <row r="67" spans="1:16" ht="13" x14ac:dyDescent="0.3">
      <c r="A67" s="37"/>
      <c r="B67" s="37"/>
      <c r="C67" s="37"/>
      <c r="D67" s="37"/>
      <c r="E67" s="37"/>
      <c r="F67" s="37"/>
      <c r="G67" s="96"/>
      <c r="H67" s="46"/>
      <c r="I67" s="96"/>
      <c r="J67" s="46"/>
      <c r="K67" s="36"/>
      <c r="L67" s="36"/>
      <c r="M67" s="36"/>
      <c r="N67" s="36"/>
      <c r="O67" s="130"/>
      <c r="P67" s="37"/>
    </row>
    <row r="68" spans="1:16" ht="20.25" customHeight="1" x14ac:dyDescent="0.4">
      <c r="A68" s="3"/>
      <c r="B68" s="37"/>
      <c r="C68" s="37"/>
      <c r="D68" s="228" t="str">
        <f>IF('Customer Info'!$C$32=TRUE,"Notice: Billing Charge does not include Self Assessed KWH Tax"," ")</f>
        <v xml:space="preserve"> </v>
      </c>
      <c r="E68" s="3"/>
      <c r="F68" s="4"/>
      <c r="G68" s="121"/>
      <c r="H68" s="55"/>
      <c r="I68" s="34"/>
      <c r="J68" s="55"/>
      <c r="K68" s="37"/>
      <c r="L68" s="37"/>
      <c r="M68" s="37"/>
      <c r="N68" s="34"/>
    </row>
    <row r="69" spans="1:16" ht="13" x14ac:dyDescent="0.3">
      <c r="A69" s="37"/>
      <c r="B69" s="37"/>
      <c r="C69" s="37"/>
      <c r="D69" s="54"/>
      <c r="E69" s="3"/>
      <c r="F69" s="4"/>
      <c r="G69" s="55"/>
      <c r="H69" s="55"/>
      <c r="I69" s="93"/>
      <c r="J69" s="55"/>
      <c r="K69" s="37"/>
      <c r="L69" s="37"/>
      <c r="M69" s="37"/>
      <c r="N69" s="37"/>
      <c r="O69" s="40"/>
    </row>
    <row r="70" spans="1:16" ht="13" x14ac:dyDescent="0.3">
      <c r="A70" s="37"/>
      <c r="B70" s="37"/>
      <c r="C70" s="37"/>
      <c r="D70" s="54"/>
      <c r="E70" s="3"/>
      <c r="F70" s="4"/>
      <c r="G70" s="55"/>
      <c r="H70" s="55"/>
      <c r="I70" s="55"/>
      <c r="J70" s="55"/>
      <c r="K70" s="37"/>
      <c r="L70" s="37"/>
      <c r="M70" s="37"/>
      <c r="N70" s="37"/>
      <c r="O70" s="40"/>
    </row>
    <row r="71" spans="1:16" ht="13" x14ac:dyDescent="0.3">
      <c r="A71" s="41"/>
      <c r="B71" s="37"/>
      <c r="C71" s="37"/>
      <c r="D71" s="37"/>
      <c r="E71" s="37"/>
      <c r="F71" s="37"/>
      <c r="G71" s="37"/>
      <c r="H71" s="37"/>
      <c r="J71" s="37"/>
      <c r="K71" s="37"/>
      <c r="L71" s="40"/>
      <c r="M71" s="40"/>
      <c r="N71" s="40"/>
      <c r="O71" s="138"/>
    </row>
    <row r="72" spans="1:16" ht="13" x14ac:dyDescent="0.3">
      <c r="B72" s="37"/>
      <c r="C72" s="37"/>
      <c r="D72" s="37"/>
      <c r="E72" s="37"/>
      <c r="F72" s="37"/>
      <c r="G72" s="96"/>
      <c r="H72" s="37"/>
      <c r="I72" s="37"/>
      <c r="J72" s="37"/>
      <c r="K72" s="37"/>
      <c r="L72" s="60"/>
      <c r="M72" s="60"/>
      <c r="N72" s="60"/>
      <c r="O72" s="130"/>
      <c r="P72" s="37"/>
    </row>
    <row r="73" spans="1:16" ht="13" x14ac:dyDescent="0.3">
      <c r="G73" s="133"/>
      <c r="H73" s="56"/>
      <c r="I73" s="133"/>
      <c r="J73" s="56"/>
      <c r="K73" s="56"/>
      <c r="L73" s="134"/>
      <c r="M73" s="134"/>
      <c r="N73" s="134"/>
      <c r="O73" s="135"/>
      <c r="P73" s="25"/>
    </row>
    <row r="75" spans="1:16" x14ac:dyDescent="0.25">
      <c r="A75" s="434"/>
    </row>
    <row r="76" spans="1:16" x14ac:dyDescent="0.25">
      <c r="A76" s="434"/>
    </row>
    <row r="77" spans="1:16" x14ac:dyDescent="0.25">
      <c r="A77" s="434"/>
    </row>
    <row r="78" spans="1:16" x14ac:dyDescent="0.25">
      <c r="A78" s="434"/>
    </row>
    <row r="79" spans="1:16" x14ac:dyDescent="0.25">
      <c r="A79" s="434"/>
    </row>
    <row r="80" spans="1:1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row r="89" spans="1:1" x14ac:dyDescent="0.25">
      <c r="A89" s="434"/>
    </row>
  </sheetData>
  <sheetProtection algorithmName="SHA-512" hashValue="tXQVKPPoGdr3yMS2aT/pcKXXxxGCVpHYr0wvqJtBvdtaMsDbgRrjbSoaoj/fX403FriSufsyImR0aEJOTM2J3g==" saltValue="Pod3NvQFtDufTMKZ2oq1yw==" spinCount="100000" sheet="1" objects="1" scenarios="1"/>
  <mergeCells count="26">
    <mergeCell ref="A75:A89"/>
    <mergeCell ref="A4:P4"/>
    <mergeCell ref="A7:P7"/>
    <mergeCell ref="A11:I11"/>
    <mergeCell ref="D21:H21"/>
    <mergeCell ref="D22:H22"/>
    <mergeCell ref="G24:J24"/>
    <mergeCell ref="L24:O24"/>
    <mergeCell ref="FU2:GJ2"/>
    <mergeCell ref="GK2:GZ2"/>
    <mergeCell ref="HA2:HP2"/>
    <mergeCell ref="HQ2:IF2"/>
    <mergeCell ref="IG2:IV2"/>
    <mergeCell ref="A3:P3"/>
    <mergeCell ref="CC2:CR2"/>
    <mergeCell ref="CS2:DH2"/>
    <mergeCell ref="DI2:DX2"/>
    <mergeCell ref="DY2:EN2"/>
    <mergeCell ref="EO2:FD2"/>
    <mergeCell ref="FE2:FT2"/>
    <mergeCell ref="A1:P1"/>
    <mergeCell ref="A2:P2"/>
    <mergeCell ref="Q2:AF2"/>
    <mergeCell ref="AG2:AV2"/>
    <mergeCell ref="AW2:BL2"/>
    <mergeCell ref="BM2:CB2"/>
  </mergeCells>
  <printOptions horizontalCentered="1"/>
  <pageMargins left="0.5" right="0.5" top="0.25" bottom="0.25" header="0.25" footer="0.26"/>
  <pageSetup scale="60" orientation="landscape" r:id="rId1"/>
  <headerFooter alignWithMargins="0"/>
  <rowBreaks count="1" manualBreakCount="1">
    <brk id="7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123906" r:id="rId5" name="Button 2">
              <controlPr defaultSize="0" print="0" autoFill="0" autoPict="0" macro="[0]!Info">
                <anchor moveWithCells="1">
                  <from>
                    <xdr:col>15</xdr:col>
                    <xdr:colOff>279400</xdr:colOff>
                    <xdr:row>83</xdr:row>
                    <xdr:rowOff>50800</xdr:rowOff>
                  </from>
                  <to>
                    <xdr:col>16</xdr:col>
                    <xdr:colOff>31750</xdr:colOff>
                    <xdr:row>84</xdr:row>
                    <xdr:rowOff>88900</xdr:rowOff>
                  </to>
                </anchor>
              </controlPr>
            </control>
          </mc:Choice>
        </mc:AlternateContent>
        <mc:AlternateContent xmlns:mc="http://schemas.openxmlformats.org/markup-compatibility/2006">
          <mc:Choice Requires="x14">
            <control shapeId="123907"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3908"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3909"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3910"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3911"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3912"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3913"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3914"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123915"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3916"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3917"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3918"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123919"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3920"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3921"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3922"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123923"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3924"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3925"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3926"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123927"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3928"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3929"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3930"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123931"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3932"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3933"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3934"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123935"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3936"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3937"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3938"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123939"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3940"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3941"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3942"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123943"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3944"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3945"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3946"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123947"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3948"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3949"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3950"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123951"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3952"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3953"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3954"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123955"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3956"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3957"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3958"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123959"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23960"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23961"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123962"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2">
    <pageSetUpPr fitToPage="1"/>
  </sheetPr>
  <dimension ref="A1:IV88"/>
  <sheetViews>
    <sheetView showGridLines="0" zoomScale="80" zoomScaleNormal="80" workbookViewId="0">
      <selection activeCell="C9" sqref="C9"/>
    </sheetView>
  </sheetViews>
  <sheetFormatPr defaultRowHeight="12.5" x14ac:dyDescent="0.25"/>
  <cols>
    <col min="1" max="1" width="31" customWidth="1"/>
    <col min="2" max="2" width="2.1796875" customWidth="1"/>
    <col min="3" max="3" width="19.26953125" customWidth="1"/>
    <col min="4" max="4" width="15.26953125" customWidth="1"/>
    <col min="5" max="5" width="9.81640625" customWidth="1"/>
    <col min="6" max="6" width="3.7265625" customWidth="1"/>
    <col min="7" max="8" width="13.26953125" customWidth="1"/>
    <col min="9" max="9" width="14.54296875" customWidth="1"/>
    <col min="10" max="10" width="13.26953125" customWidth="1"/>
    <col min="11" max="11" width="7" customWidth="1"/>
    <col min="12" max="12" width="15.1796875" customWidth="1"/>
    <col min="13" max="14" width="14.453125" customWidth="1"/>
    <col min="15" max="15" width="16.26953125" bestFit="1" customWidth="1"/>
    <col min="16" max="16" width="13.81640625" bestFit="1" customWidth="1"/>
    <col min="18" max="26" width="9.1796875" hidden="1" customWidth="1"/>
    <col min="27" max="27" width="10.54296875" hidden="1" customWidth="1"/>
    <col min="28" max="29" width="9.1796875" hidden="1" customWidth="1"/>
    <col min="30" max="30" width="10" hidden="1" customWidth="1"/>
    <col min="31" max="31" width="9.1796875" hidden="1" customWidth="1"/>
  </cols>
  <sheetData>
    <row r="1" spans="1:256" ht="20" x14ac:dyDescent="0.4">
      <c r="A1" s="451" t="s">
        <v>119</v>
      </c>
      <c r="B1" s="451"/>
      <c r="C1" s="451"/>
      <c r="D1" s="451"/>
      <c r="E1" s="451"/>
      <c r="F1" s="451"/>
      <c r="G1" s="451"/>
      <c r="H1" s="451"/>
      <c r="I1" s="451"/>
      <c r="J1" s="451"/>
      <c r="K1" s="451"/>
      <c r="L1" s="451"/>
      <c r="M1" s="451"/>
      <c r="N1" s="451"/>
      <c r="O1" s="451"/>
      <c r="P1" s="451"/>
    </row>
    <row r="2" spans="1:256" ht="20" x14ac:dyDescent="0.4">
      <c r="A2" s="436" t="s">
        <v>122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c r="FD2" s="436"/>
      <c r="FE2" s="436"/>
      <c r="FF2" s="436"/>
      <c r="FG2" s="436"/>
      <c r="FH2" s="436"/>
      <c r="FI2" s="436"/>
      <c r="FJ2" s="436"/>
      <c r="FK2" s="436"/>
      <c r="FL2" s="436"/>
      <c r="FM2" s="436"/>
      <c r="FN2" s="436"/>
      <c r="FO2" s="436"/>
      <c r="FP2" s="436"/>
      <c r="FQ2" s="436"/>
      <c r="FR2" s="436"/>
      <c r="FS2" s="436"/>
      <c r="FT2" s="436"/>
      <c r="FU2" s="436"/>
      <c r="FV2" s="436"/>
      <c r="FW2" s="436"/>
      <c r="FX2" s="436"/>
      <c r="FY2" s="436"/>
      <c r="FZ2" s="436"/>
      <c r="GA2" s="436"/>
      <c r="GB2" s="436"/>
      <c r="GC2" s="436"/>
      <c r="GD2" s="436"/>
      <c r="GE2" s="436"/>
      <c r="GF2" s="436"/>
      <c r="GG2" s="436"/>
      <c r="GH2" s="436"/>
      <c r="GI2" s="436"/>
      <c r="GJ2" s="436"/>
      <c r="GK2" s="436"/>
      <c r="GL2" s="436"/>
      <c r="GM2" s="436"/>
      <c r="GN2" s="436"/>
      <c r="GO2" s="436"/>
      <c r="GP2" s="436"/>
      <c r="GQ2" s="436"/>
      <c r="GR2" s="436"/>
      <c r="GS2" s="436"/>
      <c r="GT2" s="436"/>
      <c r="GU2" s="436"/>
      <c r="GV2" s="436"/>
      <c r="GW2" s="436"/>
      <c r="GX2" s="436"/>
      <c r="GY2" s="436"/>
      <c r="GZ2" s="436"/>
      <c r="HA2" s="436"/>
      <c r="HB2" s="436"/>
      <c r="HC2" s="436"/>
      <c r="HD2" s="436"/>
      <c r="HE2" s="436"/>
      <c r="HF2" s="436"/>
      <c r="HG2" s="436"/>
      <c r="HH2" s="436"/>
      <c r="HI2" s="436"/>
      <c r="HJ2" s="436"/>
      <c r="HK2" s="436"/>
      <c r="HL2" s="436"/>
      <c r="HM2" s="436"/>
      <c r="HN2" s="436"/>
      <c r="HO2" s="436"/>
      <c r="HP2" s="436"/>
      <c r="HQ2" s="436"/>
      <c r="HR2" s="436"/>
      <c r="HS2" s="436"/>
      <c r="HT2" s="436"/>
      <c r="HU2" s="436"/>
      <c r="HV2" s="436"/>
      <c r="HW2" s="436"/>
      <c r="HX2" s="436"/>
      <c r="HY2" s="436"/>
      <c r="HZ2" s="436"/>
      <c r="IA2" s="436"/>
      <c r="IB2" s="436"/>
      <c r="IC2" s="436"/>
      <c r="ID2" s="436"/>
      <c r="IE2" s="436"/>
      <c r="IF2" s="436"/>
      <c r="IG2" s="436"/>
      <c r="IH2" s="436"/>
      <c r="II2" s="436"/>
      <c r="IJ2" s="436"/>
      <c r="IK2" s="436"/>
      <c r="IL2" s="436"/>
      <c r="IM2" s="436"/>
      <c r="IN2" s="436"/>
      <c r="IO2" s="436"/>
      <c r="IP2" s="436"/>
      <c r="IQ2" s="436"/>
      <c r="IR2" s="436"/>
      <c r="IS2" s="436"/>
      <c r="IT2" s="436"/>
      <c r="IU2" s="436"/>
      <c r="IV2" s="436"/>
    </row>
    <row r="3" spans="1:256" ht="18" x14ac:dyDescent="0.4">
      <c r="A3" s="452" t="s">
        <v>283</v>
      </c>
      <c r="B3" s="452"/>
      <c r="C3" s="452"/>
      <c r="D3" s="452"/>
      <c r="E3" s="452"/>
      <c r="F3" s="452"/>
      <c r="G3" s="452"/>
      <c r="H3" s="452"/>
      <c r="I3" s="452"/>
      <c r="J3" s="452"/>
      <c r="K3" s="452"/>
      <c r="L3" s="452"/>
      <c r="M3" s="452"/>
      <c r="N3" s="452"/>
      <c r="O3" s="452"/>
      <c r="P3" s="452"/>
    </row>
    <row r="4" spans="1:256"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256" ht="15.5" x14ac:dyDescent="0.35">
      <c r="A5" s="75"/>
      <c r="B5" s="75"/>
      <c r="C5" s="75"/>
      <c r="D5" s="75"/>
      <c r="E5" s="75"/>
      <c r="F5" s="75"/>
      <c r="G5" s="75"/>
      <c r="H5" s="75"/>
      <c r="I5" s="75"/>
      <c r="J5" s="75"/>
      <c r="K5" s="75"/>
    </row>
    <row r="6" spans="1:256" x14ac:dyDescent="0.25">
      <c r="A6" s="76">
        <f ca="1">TODAY()</f>
        <v>45378</v>
      </c>
      <c r="B6" s="210" t="s">
        <v>303</v>
      </c>
      <c r="C6" s="276"/>
      <c r="D6" s="276"/>
      <c r="E6" s="276"/>
      <c r="F6" s="276"/>
      <c r="G6" s="276"/>
      <c r="H6" s="276"/>
      <c r="I6" s="276"/>
      <c r="J6" s="276"/>
      <c r="K6" s="276"/>
    </row>
    <row r="7" spans="1:256" ht="25" x14ac:dyDescent="0.5">
      <c r="A7" s="453"/>
      <c r="B7" s="453"/>
      <c r="C7" s="453"/>
      <c r="D7" s="453"/>
      <c r="E7" s="453"/>
      <c r="F7" s="453"/>
      <c r="G7" s="453"/>
      <c r="H7" s="453"/>
      <c r="I7" s="453"/>
      <c r="J7" s="453"/>
      <c r="K7" s="453"/>
      <c r="L7" s="453"/>
      <c r="M7" s="453"/>
      <c r="N7" s="453"/>
      <c r="O7" s="453"/>
      <c r="P7" s="453"/>
    </row>
    <row r="8" spans="1:256" ht="15.5" x14ac:dyDescent="0.35">
      <c r="A8" s="23" t="s">
        <v>2</v>
      </c>
      <c r="B8" s="24"/>
      <c r="C8" s="25">
        <f>'Customer Info'!B7</f>
        <v>0</v>
      </c>
      <c r="I8" s="26"/>
    </row>
    <row r="9" spans="1:256" ht="15.5" x14ac:dyDescent="0.35">
      <c r="A9" s="27" t="s">
        <v>26</v>
      </c>
      <c r="B9" s="24"/>
      <c r="C9" s="25">
        <f>'Customer Info'!B8</f>
        <v>0</v>
      </c>
    </row>
    <row r="10" spans="1:256" ht="13" x14ac:dyDescent="0.3">
      <c r="A10" s="23" t="s">
        <v>3</v>
      </c>
      <c r="B10" s="200">
        <f>'Customer Info'!B9</f>
        <v>4</v>
      </c>
      <c r="C10" s="194" t="str">
        <f>LOOKUP(B10,R10:AD10,R11:AD11)</f>
        <v>April</v>
      </c>
      <c r="D10" s="133">
        <f>'Customer Info'!C9</f>
        <v>2024</v>
      </c>
      <c r="S10">
        <v>1</v>
      </c>
      <c r="T10">
        <v>2</v>
      </c>
      <c r="U10">
        <v>3</v>
      </c>
      <c r="V10">
        <v>4</v>
      </c>
      <c r="W10">
        <v>5</v>
      </c>
      <c r="X10">
        <v>6</v>
      </c>
      <c r="Y10">
        <v>7</v>
      </c>
      <c r="Z10">
        <v>8</v>
      </c>
      <c r="AA10">
        <v>9</v>
      </c>
      <c r="AB10">
        <v>10</v>
      </c>
      <c r="AC10">
        <v>11</v>
      </c>
      <c r="AD10">
        <v>12</v>
      </c>
    </row>
    <row r="11" spans="1:256" ht="15" customHeight="1" x14ac:dyDescent="0.3">
      <c r="A11" s="446"/>
      <c r="B11" s="446"/>
      <c r="C11" s="446"/>
      <c r="D11" s="446"/>
      <c r="E11" s="446"/>
      <c r="F11" s="446"/>
      <c r="G11" s="446"/>
      <c r="H11" s="446"/>
      <c r="I11" s="446"/>
      <c r="R11" t="s">
        <v>114</v>
      </c>
      <c r="S11" s="145" t="s">
        <v>101</v>
      </c>
      <c r="T11" s="145" t="s">
        <v>102</v>
      </c>
      <c r="U11" s="145" t="s">
        <v>103</v>
      </c>
      <c r="V11" s="145" t="s">
        <v>104</v>
      </c>
      <c r="W11" s="145" t="s">
        <v>105</v>
      </c>
      <c r="X11" s="145" t="s">
        <v>106</v>
      </c>
      <c r="Y11" s="145" t="s">
        <v>107</v>
      </c>
      <c r="Z11" s="145" t="s">
        <v>108</v>
      </c>
      <c r="AA11" s="145" t="s">
        <v>109</v>
      </c>
      <c r="AB11" s="145" t="s">
        <v>111</v>
      </c>
      <c r="AC11" s="145" t="s">
        <v>110</v>
      </c>
      <c r="AD11" s="145" t="s">
        <v>112</v>
      </c>
    </row>
    <row r="12" spans="1:256" ht="13" x14ac:dyDescent="0.3">
      <c r="A12" s="28" t="s">
        <v>27</v>
      </c>
      <c r="B12" s="22"/>
      <c r="C12" s="22"/>
      <c r="D12" s="22"/>
      <c r="E12" s="22"/>
      <c r="F12" s="22"/>
      <c r="G12" s="22"/>
      <c r="H12" s="22"/>
      <c r="I12" s="22"/>
      <c r="J12" s="22"/>
      <c r="K12" s="22"/>
      <c r="L12" s="22"/>
      <c r="M12" s="22"/>
      <c r="N12" s="22"/>
      <c r="O12" s="22"/>
      <c r="P12" s="22"/>
      <c r="R12" s="3" t="s">
        <v>196</v>
      </c>
      <c r="S12" s="207">
        <f>'Rider Rates'!$C$25</f>
        <v>0.10049</v>
      </c>
      <c r="T12" s="207">
        <f>'Rider Rates'!$C$25</f>
        <v>0.10049</v>
      </c>
      <c r="U12" s="207">
        <f>'Rider Rates'!$C$25</f>
        <v>0.10049</v>
      </c>
      <c r="V12" s="207">
        <f>'Rider Rates'!$C$25</f>
        <v>0.10049</v>
      </c>
      <c r="W12" s="207">
        <f>'Rider Rates'!$C$25</f>
        <v>0.10049</v>
      </c>
      <c r="X12" s="207">
        <f>'Rider Rates'!$C$25</f>
        <v>0.10049</v>
      </c>
      <c r="Y12" s="207">
        <f>'Rider Rates'!$C$25</f>
        <v>0.10049</v>
      </c>
      <c r="Z12" s="207">
        <f>'Rider Rates'!$C$25</f>
        <v>0.10049</v>
      </c>
      <c r="AA12" s="207">
        <f>'Rider Rates'!$C$25</f>
        <v>0.10049</v>
      </c>
      <c r="AB12" s="207">
        <f>'Rider Rates'!$C$25</f>
        <v>0.10049</v>
      </c>
      <c r="AC12" s="207">
        <f>'Rider Rates'!$C$25</f>
        <v>0.10049</v>
      </c>
      <c r="AD12" s="207">
        <f>'Rider Rates'!$C$25</f>
        <v>0.10049</v>
      </c>
      <c r="AE12" s="207"/>
      <c r="AF12" s="207"/>
    </row>
    <row r="13" spans="1:256" x14ac:dyDescent="0.25">
      <c r="A13" s="18"/>
      <c r="B13" s="18"/>
      <c r="C13" s="59" t="s">
        <v>54</v>
      </c>
      <c r="D13" s="59" t="s">
        <v>55</v>
      </c>
      <c r="E13" s="18"/>
      <c r="F13" s="18"/>
      <c r="G13" s="18"/>
      <c r="H13" s="18"/>
      <c r="I13" s="18"/>
      <c r="J13" s="18"/>
      <c r="K13" s="18"/>
      <c r="L13" s="18"/>
      <c r="M13" s="18"/>
      <c r="N13" s="18"/>
      <c r="O13" s="18"/>
    </row>
    <row r="14" spans="1:256" x14ac:dyDescent="0.25">
      <c r="A14" s="29" t="s">
        <v>28</v>
      </c>
      <c r="B14" s="29"/>
      <c r="C14" s="44">
        <f>'Customer Info'!B18</f>
        <v>0</v>
      </c>
      <c r="D14" s="44">
        <f>ROUND(C14*C19,1)</f>
        <v>0</v>
      </c>
      <c r="E14" s="29" t="s">
        <v>45</v>
      </c>
      <c r="F14" s="30"/>
      <c r="G14" s="29" t="s">
        <v>15</v>
      </c>
      <c r="I14" s="53" t="s">
        <v>15</v>
      </c>
      <c r="J14" s="29"/>
      <c r="K14" s="29"/>
      <c r="L14" s="29"/>
      <c r="M14" s="29"/>
      <c r="N14" s="29"/>
    </row>
    <row r="15" spans="1:256" x14ac:dyDescent="0.25">
      <c r="A15" s="31" t="s">
        <v>29</v>
      </c>
      <c r="B15" s="31"/>
      <c r="C15" s="44">
        <f>'Customer Info'!B19</f>
        <v>0</v>
      </c>
      <c r="D15" s="44">
        <f>C15*C19</f>
        <v>0</v>
      </c>
      <c r="E15" s="29" t="s">
        <v>45</v>
      </c>
      <c r="F15" s="33"/>
      <c r="G15" s="31" t="s">
        <v>30</v>
      </c>
      <c r="I15" s="51" t="str">
        <f>IF(MAX(C14,C15)&gt;0,C16/(MAX(C14,C15)*730), " ")</f>
        <v xml:space="preserve"> </v>
      </c>
      <c r="J15" s="31"/>
      <c r="K15" s="31"/>
      <c r="L15" s="31"/>
      <c r="M15" s="31"/>
      <c r="N15" s="31"/>
      <c r="X15" s="207"/>
      <c r="Y15" s="207"/>
      <c r="Z15" s="207"/>
      <c r="AA15" s="207"/>
    </row>
    <row r="16" spans="1:256" x14ac:dyDescent="0.25">
      <c r="A16" s="31" t="s">
        <v>43</v>
      </c>
      <c r="B16" s="31"/>
      <c r="C16" s="32">
        <f>IF('Customer Info'!B21+'Customer Info'!B22-'Customer Info'!B23&lt;0,0,'Customer Info'!B21+'Customer Info'!B22-'Customer Info'!B23)</f>
        <v>0</v>
      </c>
      <c r="D16" s="32">
        <f>C16*C19</f>
        <v>0</v>
      </c>
      <c r="E16" s="31" t="s">
        <v>41</v>
      </c>
      <c r="F16" s="33"/>
      <c r="G16" s="31"/>
      <c r="H16" s="31"/>
      <c r="I16" s="31"/>
      <c r="J16" s="31"/>
      <c r="K16" s="31"/>
      <c r="L16" s="31"/>
      <c r="M16" s="31"/>
      <c r="N16" s="31"/>
      <c r="O16" s="31"/>
    </row>
    <row r="17" spans="1:30" x14ac:dyDescent="0.25">
      <c r="A17" s="31" t="s">
        <v>129</v>
      </c>
      <c r="B17" s="31"/>
      <c r="C17" s="32">
        <f>'Customer Info'!$B$26</f>
        <v>0</v>
      </c>
      <c r="D17" s="32">
        <f>C17*C19</f>
        <v>0</v>
      </c>
      <c r="E17" s="31" t="s">
        <v>268</v>
      </c>
      <c r="F17" s="33"/>
      <c r="K17" s="31"/>
      <c r="L17" s="31"/>
      <c r="M17" s="31"/>
      <c r="N17" s="31"/>
    </row>
    <row r="18" spans="1:30" x14ac:dyDescent="0.25">
      <c r="A18" s="31" t="s">
        <v>267</v>
      </c>
      <c r="B18" s="31"/>
      <c r="C18" s="32"/>
      <c r="D18" s="32">
        <f>IF((D17-(ROUND(MAX(D14,D15)*0.5,1)))&lt;0,0,(D17-(ROUND(MAX(D14,D15)*0.5,1))))</f>
        <v>0</v>
      </c>
      <c r="E18" s="31" t="s">
        <v>271</v>
      </c>
      <c r="F18" s="33"/>
      <c r="K18" s="31"/>
      <c r="L18" s="31"/>
      <c r="M18" s="31"/>
      <c r="N18" s="31"/>
    </row>
    <row r="19" spans="1:30" ht="13" x14ac:dyDescent="0.3">
      <c r="A19" s="31" t="s">
        <v>53</v>
      </c>
      <c r="B19" s="31"/>
      <c r="C19" s="58">
        <f>+'Customer Info'!E18</f>
        <v>1</v>
      </c>
      <c r="D19" s="31"/>
      <c r="E19" s="31"/>
      <c r="F19" s="33"/>
      <c r="G19" s="23"/>
      <c r="H19" s="23"/>
      <c r="I19" s="23"/>
      <c r="J19" s="23"/>
      <c r="K19" s="31"/>
      <c r="L19" s="31"/>
      <c r="M19" s="31"/>
      <c r="N19" s="31"/>
      <c r="S19" s="207"/>
      <c r="T19" s="207"/>
      <c r="U19" s="207"/>
      <c r="V19" s="207"/>
      <c r="W19" s="207"/>
      <c r="X19" s="207"/>
      <c r="Y19" s="207"/>
      <c r="Z19" s="207"/>
      <c r="AA19" s="207"/>
      <c r="AB19" s="207"/>
      <c r="AC19" s="207"/>
      <c r="AD19" s="207"/>
    </row>
    <row r="20" spans="1:30" x14ac:dyDescent="0.25">
      <c r="A20" s="31" t="s">
        <v>15</v>
      </c>
      <c r="B20" s="31"/>
      <c r="C20" s="82" t="s">
        <v>15</v>
      </c>
      <c r="D20" s="455" t="s">
        <v>15</v>
      </c>
      <c r="E20" s="455"/>
      <c r="F20" s="455"/>
      <c r="G20" s="455"/>
      <c r="H20" s="455"/>
      <c r="K20" s="31"/>
      <c r="L20" s="31"/>
      <c r="M20" s="31"/>
      <c r="N20" s="31"/>
      <c r="O20" s="50"/>
    </row>
    <row r="21" spans="1:30" ht="13" x14ac:dyDescent="0.3">
      <c r="A21" s="31" t="s">
        <v>15</v>
      </c>
      <c r="B21" s="31"/>
      <c r="C21" s="82" t="s">
        <v>15</v>
      </c>
      <c r="D21" s="455" t="s">
        <v>15</v>
      </c>
      <c r="E21" s="455"/>
      <c r="F21" s="455"/>
      <c r="G21" s="455"/>
      <c r="H21" s="455"/>
      <c r="I21" s="23"/>
      <c r="J21" s="23"/>
      <c r="K21" s="31"/>
      <c r="L21" s="31"/>
      <c r="M21" s="31"/>
      <c r="N21" s="31"/>
      <c r="O21" s="50"/>
    </row>
    <row r="22" spans="1:30" ht="13" x14ac:dyDescent="0.3">
      <c r="A22" s="31"/>
      <c r="B22" s="31"/>
      <c r="C22" s="33"/>
      <c r="D22" s="33"/>
      <c r="E22" s="33"/>
      <c r="F22" s="33"/>
      <c r="G22" s="23"/>
      <c r="H22" s="23"/>
      <c r="I22" s="23"/>
      <c r="J22" s="23"/>
      <c r="K22" s="31"/>
      <c r="L22" s="31"/>
      <c r="M22" s="31"/>
      <c r="N22" s="31"/>
      <c r="O22" s="31"/>
    </row>
    <row r="23" spans="1:30" ht="13" x14ac:dyDescent="0.3">
      <c r="A23" s="28" t="s">
        <v>31</v>
      </c>
      <c r="B23" s="22"/>
      <c r="C23" s="22"/>
      <c r="D23" s="22"/>
      <c r="E23" s="22"/>
      <c r="F23" s="22"/>
      <c r="G23" s="447" t="s">
        <v>67</v>
      </c>
      <c r="H23" s="448"/>
      <c r="I23" s="448"/>
      <c r="J23" s="449"/>
      <c r="K23" s="22"/>
      <c r="L23" s="450" t="s">
        <v>68</v>
      </c>
      <c r="M23" s="450"/>
      <c r="N23" s="450"/>
      <c r="O23" s="450"/>
    </row>
    <row r="24" spans="1:30" ht="13" x14ac:dyDescent="0.3">
      <c r="A24" s="18"/>
      <c r="B24" s="18"/>
      <c r="C24" s="18"/>
      <c r="D24" s="18"/>
      <c r="E24" s="18"/>
      <c r="F24" s="18"/>
      <c r="G24" s="8" t="s">
        <v>64</v>
      </c>
      <c r="H24" s="8" t="s">
        <v>65</v>
      </c>
      <c r="I24" s="8" t="s">
        <v>66</v>
      </c>
      <c r="J24" s="112" t="s">
        <v>34</v>
      </c>
      <c r="K24" s="18"/>
      <c r="L24" s="131" t="s">
        <v>64</v>
      </c>
      <c r="M24" s="131" t="s">
        <v>65</v>
      </c>
      <c r="N24" s="131" t="s">
        <v>66</v>
      </c>
      <c r="O24" s="132" t="s">
        <v>34</v>
      </c>
      <c r="P24" s="43" t="s">
        <v>56</v>
      </c>
    </row>
    <row r="25" spans="1:30" x14ac:dyDescent="0.25">
      <c r="A25" t="s">
        <v>32</v>
      </c>
      <c r="G25" s="86"/>
      <c r="H25" s="86"/>
      <c r="I25" s="86">
        <f>IF(D14&gt;2000,3600,825)</f>
        <v>825</v>
      </c>
      <c r="J25" s="86">
        <f>SUM(G25:I25)</f>
        <v>825</v>
      </c>
      <c r="L25" s="88"/>
      <c r="M25" s="88"/>
      <c r="N25" s="88">
        <f>I25</f>
        <v>825</v>
      </c>
      <c r="O25" s="209">
        <f>SUM(L25:N25)</f>
        <v>825</v>
      </c>
      <c r="P25" s="245">
        <v>44531</v>
      </c>
    </row>
    <row r="26" spans="1:30" x14ac:dyDescent="0.25">
      <c r="A26" t="s">
        <v>132</v>
      </c>
      <c r="D26" s="1">
        <f>D16</f>
        <v>0</v>
      </c>
      <c r="E26" s="101" t="s">
        <v>41</v>
      </c>
      <c r="F26" s="102" t="s">
        <v>8</v>
      </c>
      <c r="G26" s="84"/>
      <c r="H26" s="86"/>
      <c r="I26" s="86"/>
      <c r="J26" s="84"/>
      <c r="K26" s="104" t="s">
        <v>42</v>
      </c>
      <c r="L26" s="87"/>
      <c r="M26" s="88"/>
      <c r="N26" s="87"/>
      <c r="O26" s="209"/>
      <c r="P26" s="245"/>
    </row>
    <row r="27" spans="1:30" x14ac:dyDescent="0.25">
      <c r="A27" t="s">
        <v>33</v>
      </c>
      <c r="D27" s="49">
        <f>ROUND(MAX(D14,D15,('Customer Info'!B14-100)*0.6,('Customer Info'!B16-100)*0.6),1)</f>
        <v>0</v>
      </c>
      <c r="E27" s="29" t="s">
        <v>45</v>
      </c>
      <c r="F27" s="4" t="s">
        <v>8</v>
      </c>
      <c r="G27" s="85"/>
      <c r="H27" s="85"/>
      <c r="I27" s="85">
        <v>0</v>
      </c>
      <c r="J27" s="85">
        <f>SUM(G27:I27)</f>
        <v>0</v>
      </c>
      <c r="K27" s="36" t="s">
        <v>44</v>
      </c>
      <c r="L27" s="87"/>
      <c r="M27" s="87"/>
      <c r="N27" s="87">
        <f>ROUND($D27*I27,2)</f>
        <v>0</v>
      </c>
      <c r="O27" s="209">
        <f>SUM(L27:N27)</f>
        <v>0</v>
      </c>
      <c r="P27" s="245">
        <v>44531</v>
      </c>
    </row>
    <row r="28" spans="1:30" x14ac:dyDescent="0.25">
      <c r="A28" t="s">
        <v>272</v>
      </c>
      <c r="D28" s="49">
        <f>D18</f>
        <v>0</v>
      </c>
      <c r="E28" s="29" t="s">
        <v>270</v>
      </c>
      <c r="F28" s="4" t="s">
        <v>8</v>
      </c>
      <c r="G28" s="116"/>
      <c r="H28" s="85"/>
      <c r="I28" s="85">
        <v>0.7</v>
      </c>
      <c r="J28" s="116">
        <f>SUM(G28:I28)</f>
        <v>0.7</v>
      </c>
      <c r="K28" s="36" t="s">
        <v>44</v>
      </c>
      <c r="L28" s="87"/>
      <c r="M28" s="87"/>
      <c r="N28" s="87">
        <f>ROUND($D28*I28,2)</f>
        <v>0</v>
      </c>
      <c r="O28" s="87">
        <f>SUM(L28:N28)</f>
        <v>0</v>
      </c>
      <c r="P28" s="245">
        <v>44531</v>
      </c>
    </row>
    <row r="29" spans="1:30" ht="13" x14ac:dyDescent="0.3">
      <c r="A29" s="37" t="s">
        <v>50</v>
      </c>
      <c r="B29" s="37"/>
      <c r="C29" s="37"/>
      <c r="D29" s="38"/>
      <c r="E29" s="38"/>
      <c r="F29" s="37"/>
      <c r="G29" s="37"/>
      <c r="H29" s="37"/>
      <c r="I29" s="37"/>
      <c r="J29" s="37"/>
      <c r="K29" s="39"/>
      <c r="L29" s="40"/>
      <c r="M29" s="40"/>
      <c r="N29" s="40">
        <f>SUM(N25:N28)</f>
        <v>825</v>
      </c>
      <c r="O29" s="40">
        <f>SUM(O25:O28)</f>
        <v>825</v>
      </c>
    </row>
    <row r="30" spans="1:30" ht="13" x14ac:dyDescent="0.3">
      <c r="A30" s="89"/>
      <c r="B30" s="89"/>
      <c r="C30" s="90"/>
      <c r="D30" s="90"/>
      <c r="E30" s="90"/>
      <c r="F30" s="90"/>
      <c r="G30" s="91"/>
      <c r="H30" s="91"/>
      <c r="I30" s="91"/>
      <c r="J30" s="91"/>
      <c r="K30" s="89"/>
      <c r="L30" s="89"/>
      <c r="M30" s="89"/>
      <c r="N30" s="89"/>
      <c r="O30" s="89"/>
      <c r="P30" s="89"/>
    </row>
    <row r="31" spans="1:30" ht="13" x14ac:dyDescent="0.3">
      <c r="A31" s="41" t="s">
        <v>69</v>
      </c>
      <c r="D31" s="1"/>
      <c r="E31" s="1"/>
      <c r="K31" s="36"/>
      <c r="L31" s="36"/>
      <c r="M31" s="36"/>
      <c r="N31" s="36"/>
      <c r="O31" s="34"/>
      <c r="P31" s="34"/>
    </row>
    <row r="32" spans="1:30" ht="13" x14ac:dyDescent="0.3">
      <c r="A32" s="37"/>
      <c r="D32" s="1"/>
      <c r="E32" s="1"/>
      <c r="K32" s="36"/>
      <c r="L32" s="36"/>
      <c r="M32" s="36"/>
      <c r="N32" s="36"/>
      <c r="O32" s="34"/>
    </row>
    <row r="33" spans="1:221" x14ac:dyDescent="0.25">
      <c r="A33" s="78" t="s">
        <v>78</v>
      </c>
      <c r="D33" s="1">
        <f>IF($C$16&lt;0,0,IF($C$16&gt;833000,833000,$C$16))</f>
        <v>0</v>
      </c>
      <c r="E33" s="35" t="s">
        <v>41</v>
      </c>
      <c r="F33" s="4" t="s">
        <v>8</v>
      </c>
      <c r="G33" s="83"/>
      <c r="H33" s="84"/>
      <c r="I33" s="103">
        <f>'Rider Rates'!$B$4</f>
        <v>5.9216E-3</v>
      </c>
      <c r="J33" s="6">
        <f>SUM(G33:I33)</f>
        <v>5.9216E-3</v>
      </c>
      <c r="K33" s="36" t="s">
        <v>42</v>
      </c>
      <c r="L33" s="87"/>
      <c r="M33" s="87"/>
      <c r="N33" s="87">
        <f>ROUND($D33*I33,2)</f>
        <v>0</v>
      </c>
      <c r="O33" s="87">
        <f t="shared" ref="O33:O41" si="0">SUM(L33:N33)</f>
        <v>0</v>
      </c>
      <c r="P33" s="245">
        <f>'Rider Rates'!$D$4</f>
        <v>45293</v>
      </c>
    </row>
    <row r="34" spans="1:221" x14ac:dyDescent="0.25">
      <c r="A34" s="78" t="s">
        <v>79</v>
      </c>
      <c r="D34" s="1">
        <f>IF($C$16-833000&gt;0,$C$16-D33,0)</f>
        <v>0</v>
      </c>
      <c r="E34" s="35" t="s">
        <v>41</v>
      </c>
      <c r="F34" s="4" t="s">
        <v>8</v>
      </c>
      <c r="G34" s="83"/>
      <c r="H34" s="84"/>
      <c r="I34" s="103">
        <f>'Rider Rates'!$B$5</f>
        <v>1.7560000000000001E-4</v>
      </c>
      <c r="J34" s="118">
        <f>SUM(G34:I34)</f>
        <v>1.7560000000000001E-4</v>
      </c>
      <c r="K34" s="36" t="s">
        <v>42</v>
      </c>
      <c r="L34" s="87"/>
      <c r="M34" s="87"/>
      <c r="N34" s="87">
        <f>ROUND($D34*I34,2)</f>
        <v>0</v>
      </c>
      <c r="O34" s="87">
        <f t="shared" si="0"/>
        <v>0</v>
      </c>
      <c r="P34" s="245">
        <f>'Rider Rates'!$D$4</f>
        <v>45293</v>
      </c>
    </row>
    <row r="35" spans="1:221" x14ac:dyDescent="0.25">
      <c r="A35" s="78" t="s">
        <v>47</v>
      </c>
      <c r="B35" t="s">
        <v>15</v>
      </c>
      <c r="D35" s="1">
        <f>IF('Customer Info'!$C$32=TRUE,0,IF(C16&lt;0,0,IF(C16&gt;2000,2000,C16)))</f>
        <v>0</v>
      </c>
      <c r="E35" s="35" t="s">
        <v>41</v>
      </c>
      <c r="F35" s="4" t="s">
        <v>8</v>
      </c>
      <c r="G35" s="83"/>
      <c r="H35" s="84"/>
      <c r="I35" s="177">
        <f>'Rider Rates'!$B$8</f>
        <v>4.6499999999999996E-3</v>
      </c>
      <c r="J35" s="117">
        <f>SUM(G35:I35)</f>
        <v>4.6499999999999996E-3</v>
      </c>
      <c r="K35" s="36" t="s">
        <v>42</v>
      </c>
      <c r="L35" s="87"/>
      <c r="M35" s="87"/>
      <c r="N35" s="87">
        <f>ROUND($D35*I35,2)</f>
        <v>0</v>
      </c>
      <c r="O35" s="87">
        <f t="shared" si="0"/>
        <v>0</v>
      </c>
      <c r="P35" s="245">
        <f>'Rider Rates'!$D$7</f>
        <v>44531</v>
      </c>
    </row>
    <row r="36" spans="1:221" x14ac:dyDescent="0.25">
      <c r="A36" s="78" t="s">
        <v>48</v>
      </c>
      <c r="B36" t="s">
        <v>15</v>
      </c>
      <c r="D36" s="1">
        <f>IF('Customer Info'!$C$32=TRUE,0,IF(C16&gt;15000,13000,IF(C16&gt;2000,C16-2000,0)))</f>
        <v>0</v>
      </c>
      <c r="E36" s="35" t="s">
        <v>41</v>
      </c>
      <c r="F36" s="4" t="s">
        <v>8</v>
      </c>
      <c r="G36" s="83"/>
      <c r="H36" s="84"/>
      <c r="I36" s="177">
        <f>'Rider Rates'!$B$9</f>
        <v>4.1900000000000001E-3</v>
      </c>
      <c r="J36" s="117">
        <f>SUM(G36:I36)</f>
        <v>4.1900000000000001E-3</v>
      </c>
      <c r="K36" s="36" t="s">
        <v>42</v>
      </c>
      <c r="L36" s="87"/>
      <c r="M36" s="87"/>
      <c r="N36" s="87">
        <f>ROUND($D36*I36,2)</f>
        <v>0</v>
      </c>
      <c r="O36" s="87">
        <f t="shared" si="0"/>
        <v>0</v>
      </c>
      <c r="P36" s="245">
        <f>'Rider Rates'!$D$7</f>
        <v>44531</v>
      </c>
    </row>
    <row r="37" spans="1:221" x14ac:dyDescent="0.25">
      <c r="A37" s="78" t="s">
        <v>49</v>
      </c>
      <c r="B37" t="s">
        <v>15</v>
      </c>
      <c r="D37" s="1">
        <f>IF('Customer Info'!$C$32=TRUE,0,IF(C16-D35-D36&gt;0,C16-D35-D36,0))</f>
        <v>0</v>
      </c>
      <c r="E37" s="35" t="s">
        <v>41</v>
      </c>
      <c r="F37" s="4" t="s">
        <v>8</v>
      </c>
      <c r="G37" s="83"/>
      <c r="H37" s="84"/>
      <c r="I37" s="177">
        <f>'Rider Rates'!$B$10</f>
        <v>3.63E-3</v>
      </c>
      <c r="J37" s="117">
        <f>SUM(G37:I37)</f>
        <v>3.63E-3</v>
      </c>
      <c r="K37" s="36" t="s">
        <v>42</v>
      </c>
      <c r="L37" s="87"/>
      <c r="M37" s="87"/>
      <c r="N37" s="87">
        <f>ROUND($D37*I37,2)</f>
        <v>0</v>
      </c>
      <c r="O37" s="87">
        <f t="shared" si="0"/>
        <v>0</v>
      </c>
      <c r="P37" s="245">
        <f>'Rider Rates'!$D$7</f>
        <v>44531</v>
      </c>
    </row>
    <row r="38" spans="1:221" ht="13" x14ac:dyDescent="0.3">
      <c r="A38" s="241" t="s">
        <v>247</v>
      </c>
      <c r="B38" s="78"/>
      <c r="C38" s="78"/>
      <c r="D38" s="208">
        <f>$N$29</f>
        <v>825</v>
      </c>
      <c r="E38" s="101" t="s">
        <v>121</v>
      </c>
      <c r="F38" s="102" t="s">
        <v>8</v>
      </c>
      <c r="G38" s="103"/>
      <c r="H38" s="103"/>
      <c r="I38" s="178">
        <f>'Rider Rates'!$B$18+'Rider Rates'!$E$18</f>
        <v>0</v>
      </c>
      <c r="J38" s="120">
        <f>SUM(H38:I38)</f>
        <v>0</v>
      </c>
      <c r="K38" s="104"/>
      <c r="L38" s="105"/>
      <c r="M38" s="105"/>
      <c r="N38" s="105">
        <f>ROUND($D$38*'Rider Rates'!$B$18,2)+ROUND($D$38*'Rider Rates'!$E$18,2)</f>
        <v>0</v>
      </c>
      <c r="O38" s="105">
        <f t="shared" si="0"/>
        <v>0</v>
      </c>
      <c r="P38" s="245">
        <f>MAX('Rider Rates'!$D$18,'Rider Rates'!$F$18)</f>
        <v>44531</v>
      </c>
    </row>
    <row r="39" spans="1:221" x14ac:dyDescent="0.25">
      <c r="A39" s="241" t="s">
        <v>220</v>
      </c>
      <c r="B39" s="78"/>
      <c r="C39" s="78"/>
      <c r="D39" s="1">
        <f>IF($C$16&lt;0,0,IF($C$16&gt;833000,833000,$C$16))</f>
        <v>0</v>
      </c>
      <c r="E39" s="101" t="s">
        <v>41</v>
      </c>
      <c r="F39" s="102" t="s">
        <v>8</v>
      </c>
      <c r="G39" s="103"/>
      <c r="H39" s="103"/>
      <c r="I39" s="103">
        <f>'Rider Rates'!D50</f>
        <v>1.7826999999999999E-3</v>
      </c>
      <c r="J39" s="103">
        <f>SUM(G39:I39)</f>
        <v>1.7826999999999999E-3</v>
      </c>
      <c r="K39" s="104" t="s">
        <v>42</v>
      </c>
      <c r="L39" s="105"/>
      <c r="M39" s="105"/>
      <c r="N39" s="87">
        <f>D39*J39</f>
        <v>0</v>
      </c>
      <c r="O39" s="105">
        <f t="shared" si="0"/>
        <v>0</v>
      </c>
      <c r="P39" s="245">
        <f>'Rider Rates'!E50</f>
        <v>45292</v>
      </c>
    </row>
    <row r="40" spans="1:221" x14ac:dyDescent="0.25">
      <c r="A40" s="210" t="s">
        <v>198</v>
      </c>
      <c r="B40" s="78"/>
      <c r="C40" s="78"/>
      <c r="D40" s="1">
        <f>IF($C$16&lt;0,0,$C$16)</f>
        <v>0</v>
      </c>
      <c r="E40" s="113" t="s">
        <v>41</v>
      </c>
      <c r="F40" s="102" t="s">
        <v>8</v>
      </c>
      <c r="G40" s="103"/>
      <c r="H40" s="103">
        <f>'Rider Rates'!$B$60</f>
        <v>5.7019999999999998E-4</v>
      </c>
      <c r="I40" s="103"/>
      <c r="J40" s="103">
        <f>SUM(G40:I40)</f>
        <v>5.7019999999999998E-4</v>
      </c>
      <c r="K40" s="104" t="s">
        <v>42</v>
      </c>
      <c r="L40" s="105"/>
      <c r="M40" s="105">
        <f>ROUND(D40*H40,2)</f>
        <v>0</v>
      </c>
      <c r="N40" s="205"/>
      <c r="O40" s="105">
        <f t="shared" si="0"/>
        <v>0</v>
      </c>
      <c r="P40" s="245">
        <f>'Rider Rates'!$D$60</f>
        <v>45383</v>
      </c>
    </row>
    <row r="41" spans="1:221" x14ac:dyDescent="0.25">
      <c r="A41" s="210" t="s">
        <v>198</v>
      </c>
      <c r="B41" s="78"/>
      <c r="C41" s="78"/>
      <c r="D41" s="49">
        <f>D27</f>
        <v>0</v>
      </c>
      <c r="E41" s="35" t="s">
        <v>63</v>
      </c>
      <c r="F41" s="4" t="s">
        <v>8</v>
      </c>
      <c r="G41" s="103"/>
      <c r="H41" s="239">
        <f>'Rider Rates'!$B$65</f>
        <v>7.45</v>
      </c>
      <c r="I41" s="103"/>
      <c r="J41" s="239">
        <f>SUM(G41:I41)</f>
        <v>7.45</v>
      </c>
      <c r="K41" s="104" t="s">
        <v>44</v>
      </c>
      <c r="L41" s="105"/>
      <c r="M41" s="105">
        <f>ROUND(D41*H41,2)</f>
        <v>0</v>
      </c>
      <c r="N41" s="205"/>
      <c r="O41" s="105">
        <f t="shared" si="0"/>
        <v>0</v>
      </c>
      <c r="P41" s="245">
        <f>'Rider Rates'!$D$65</f>
        <v>45383</v>
      </c>
    </row>
    <row r="42" spans="1:221" x14ac:dyDescent="0.25">
      <c r="A42" s="99" t="s">
        <v>82</v>
      </c>
      <c r="B42" s="78"/>
      <c r="C42" s="78"/>
      <c r="D42" s="1">
        <f>IF('Customer Info'!C34=TRUE,0,IF($C$16&lt;0,0,$C$16))</f>
        <v>0</v>
      </c>
      <c r="E42" s="101" t="s">
        <v>41</v>
      </c>
      <c r="F42" s="102" t="s">
        <v>8</v>
      </c>
      <c r="G42" s="103"/>
      <c r="H42" s="103"/>
      <c r="I42" s="103">
        <f>'Rider Rates'!$B$70+'Rider Rates'!$C$70</f>
        <v>0</v>
      </c>
      <c r="J42" s="103">
        <f>SUM(G42:I42)</f>
        <v>0</v>
      </c>
      <c r="K42" s="104" t="s">
        <v>42</v>
      </c>
      <c r="L42" s="105"/>
      <c r="M42" s="105"/>
      <c r="N42" s="87">
        <f>ROUND($D$42*'Rider Rates'!$B$70,2)+ROUND($D$42*'Rider Rates'!$C$70,2)</f>
        <v>0</v>
      </c>
      <c r="O42" s="209">
        <f t="shared" ref="O42:O47" si="1">SUM(L42:N42)</f>
        <v>0</v>
      </c>
      <c r="P42" s="245">
        <f>'Rider Rates'!$D$70</f>
        <v>44531</v>
      </c>
      <c r="Q42" s="107"/>
      <c r="R42" s="108"/>
      <c r="S42" s="109"/>
      <c r="T42" s="78"/>
      <c r="U42" s="110"/>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row>
    <row r="43" spans="1:221" x14ac:dyDescent="0.25">
      <c r="A43" s="99" t="s">
        <v>82</v>
      </c>
      <c r="B43" s="78"/>
      <c r="C43" s="78"/>
      <c r="D43" s="49">
        <f>IF('Customer Info'!C34=TRUE,0,$D$27)</f>
        <v>0</v>
      </c>
      <c r="E43" s="101" t="s">
        <v>45</v>
      </c>
      <c r="F43" s="102" t="s">
        <v>8</v>
      </c>
      <c r="G43" s="103"/>
      <c r="H43" s="103"/>
      <c r="I43" s="239">
        <f>'Rider Rates'!$B$80</f>
        <v>0</v>
      </c>
      <c r="J43" s="239">
        <f>SUM(G43:I43)</f>
        <v>0</v>
      </c>
      <c r="K43" s="104" t="s">
        <v>42</v>
      </c>
      <c r="L43" s="105"/>
      <c r="M43" s="105"/>
      <c r="N43" s="87">
        <f>ROUND($D43*I43,2)</f>
        <v>0</v>
      </c>
      <c r="O43" s="209">
        <f>SUM(L43:N43)</f>
        <v>0</v>
      </c>
      <c r="P43" s="245">
        <v>44531</v>
      </c>
      <c r="Q43" s="107"/>
      <c r="R43" s="108"/>
      <c r="S43" s="109"/>
      <c r="T43" s="78"/>
      <c r="U43" s="110"/>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row>
    <row r="44" spans="1:221" ht="13" x14ac:dyDescent="0.3">
      <c r="A44" s="99" t="s">
        <v>80</v>
      </c>
      <c r="B44" s="78"/>
      <c r="C44" s="78"/>
      <c r="D44" s="208">
        <f>$N$29</f>
        <v>825</v>
      </c>
      <c r="E44" s="101" t="s">
        <v>121</v>
      </c>
      <c r="F44" s="102" t="s">
        <v>8</v>
      </c>
      <c r="G44" s="111"/>
      <c r="H44" s="112"/>
      <c r="I44" s="120">
        <f>'Rider Rates'!$B$84</f>
        <v>2.9347000000000002E-2</v>
      </c>
      <c r="J44" s="120">
        <f>SUM(H44:I44)</f>
        <v>2.9347000000000002E-2</v>
      </c>
      <c r="K44" s="104"/>
      <c r="L44" s="105"/>
      <c r="M44" s="105"/>
      <c r="N44" s="105">
        <f>ROUND(N$29*I44,2)</f>
        <v>24.21</v>
      </c>
      <c r="O44" s="209">
        <f t="shared" si="1"/>
        <v>24.21</v>
      </c>
      <c r="P44" s="245">
        <f>'Rider Rates'!$D$84</f>
        <v>45383</v>
      </c>
      <c r="Q44" s="107"/>
      <c r="R44" s="108"/>
      <c r="S44" s="109"/>
      <c r="T44" s="78"/>
      <c r="U44" s="110"/>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row>
    <row r="45" spans="1:221" ht="13" x14ac:dyDescent="0.3">
      <c r="A45" s="99" t="s">
        <v>81</v>
      </c>
      <c r="B45" s="78"/>
      <c r="C45" s="78"/>
      <c r="D45" s="208">
        <f>$N$29</f>
        <v>825</v>
      </c>
      <c r="E45" s="101" t="s">
        <v>121</v>
      </c>
      <c r="F45" s="102" t="s">
        <v>8</v>
      </c>
      <c r="G45" s="114"/>
      <c r="H45" s="115"/>
      <c r="I45" s="120">
        <f>'Rider Rates'!$B$86</f>
        <v>6.6985699999999995E-2</v>
      </c>
      <c r="J45" s="120">
        <f>SUM(H45:I45)</f>
        <v>6.6985699999999995E-2</v>
      </c>
      <c r="K45" s="104"/>
      <c r="L45" s="105"/>
      <c r="M45" s="105"/>
      <c r="N45" s="105">
        <f>ROUND(N$29*I45,2)</f>
        <v>55.26</v>
      </c>
      <c r="O45" s="209">
        <f t="shared" si="1"/>
        <v>55.26</v>
      </c>
      <c r="P45" s="245">
        <f>'Rider Rates'!$D$86</f>
        <v>45167</v>
      </c>
      <c r="Q45" s="107"/>
      <c r="R45" s="108"/>
      <c r="S45" s="109"/>
      <c r="T45" s="78"/>
      <c r="U45" s="110"/>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row>
    <row r="46" spans="1:221" ht="13" x14ac:dyDescent="0.3">
      <c r="A46" s="210" t="s">
        <v>216</v>
      </c>
      <c r="B46" s="78"/>
      <c r="C46" s="78"/>
      <c r="D46" s="195"/>
      <c r="E46" s="113" t="s">
        <v>114</v>
      </c>
      <c r="F46" s="106"/>
      <c r="G46" s="114"/>
      <c r="H46" s="115"/>
      <c r="I46" s="196">
        <f>'Rider Rates'!$B$90</f>
        <v>15.91</v>
      </c>
      <c r="J46" s="196">
        <f>SUM(G46:I46)</f>
        <v>15.91</v>
      </c>
      <c r="K46" s="104"/>
      <c r="L46" s="105"/>
      <c r="M46" s="105"/>
      <c r="N46" s="105">
        <f>I46</f>
        <v>15.91</v>
      </c>
      <c r="O46" s="105">
        <f>SUM(L46:N46)</f>
        <v>15.91</v>
      </c>
      <c r="P46" s="245">
        <f>'Rider Rates'!$D$90</f>
        <v>45351</v>
      </c>
    </row>
    <row r="47" spans="1:221" ht="13" x14ac:dyDescent="0.3">
      <c r="A47" s="99" t="s">
        <v>157</v>
      </c>
      <c r="B47" s="78"/>
      <c r="C47" s="78"/>
      <c r="D47" s="208">
        <f>$N$29</f>
        <v>825</v>
      </c>
      <c r="E47" s="101" t="s">
        <v>121</v>
      </c>
      <c r="F47" s="102" t="s">
        <v>8</v>
      </c>
      <c r="G47" s="114"/>
      <c r="H47" s="115"/>
      <c r="I47" s="120">
        <f>'Rider Rates'!$B$104</f>
        <v>0.21398439999999999</v>
      </c>
      <c r="J47" s="120">
        <f>SUM(H47:I47)</f>
        <v>0.21398439999999999</v>
      </c>
      <c r="K47" s="104"/>
      <c r="L47" s="105"/>
      <c r="M47" s="105"/>
      <c r="N47" s="105">
        <f>ROUND(N$29*I47,2)</f>
        <v>176.54</v>
      </c>
      <c r="O47" s="105">
        <f t="shared" si="1"/>
        <v>176.54</v>
      </c>
      <c r="P47" s="245">
        <f>'Rider Rates'!$D$104</f>
        <v>45351</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ht="13" x14ac:dyDescent="0.3">
      <c r="A48" s="210" t="s">
        <v>219</v>
      </c>
      <c r="B48" s="78"/>
      <c r="C48" s="78"/>
      <c r="D48" s="195"/>
      <c r="E48" s="113" t="s">
        <v>114</v>
      </c>
      <c r="F48" s="106"/>
      <c r="G48" s="114"/>
      <c r="H48" s="115"/>
      <c r="I48" s="196">
        <f>'Rider Rates'!$B$108</f>
        <v>0</v>
      </c>
      <c r="J48" s="196">
        <f t="shared" ref="J48:J54" si="2">SUM(G48:I48)</f>
        <v>0</v>
      </c>
      <c r="K48" s="104"/>
      <c r="L48" s="105"/>
      <c r="M48" s="105"/>
      <c r="N48" s="105">
        <f>I48</f>
        <v>0</v>
      </c>
      <c r="O48" s="105">
        <f t="shared" ref="O48:O54" si="3">SUM(L48:N48)</f>
        <v>0</v>
      </c>
      <c r="P48" s="245">
        <f>'Rider Rates'!$D$108</f>
        <v>44894</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ht="13" x14ac:dyDescent="0.3">
      <c r="A49" s="210" t="s">
        <v>227</v>
      </c>
      <c r="B49" s="78"/>
      <c r="C49" s="78"/>
      <c r="D49" s="195"/>
      <c r="E49" s="113" t="s">
        <v>114</v>
      </c>
      <c r="F49" s="106"/>
      <c r="G49" s="114"/>
      <c r="H49" s="115"/>
      <c r="I49" s="260">
        <f>'Rider Rates'!B121</f>
        <v>5.83</v>
      </c>
      <c r="J49" s="196">
        <f t="shared" si="2"/>
        <v>5.83</v>
      </c>
      <c r="K49" s="104"/>
      <c r="L49" s="105"/>
      <c r="M49" s="105"/>
      <c r="N49" s="262">
        <f>I49</f>
        <v>5.83</v>
      </c>
      <c r="O49" s="105">
        <f t="shared" si="3"/>
        <v>5.83</v>
      </c>
      <c r="P49" s="245">
        <f>'Rider Rates'!D121</f>
        <v>45226</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5">
      <c r="A50" s="210" t="s">
        <v>218</v>
      </c>
      <c r="B50" s="78"/>
      <c r="C50" s="78"/>
      <c r="D50" s="1">
        <f>IF($C$16&lt;1,0,$C$16)</f>
        <v>0</v>
      </c>
      <c r="E50" s="101" t="s">
        <v>41</v>
      </c>
      <c r="F50" s="249" t="s">
        <v>8</v>
      </c>
      <c r="G50" s="165"/>
      <c r="H50" s="165"/>
      <c r="I50" s="251">
        <f>'Rider Rates'!B117</f>
        <v>-6.2E-4</v>
      </c>
      <c r="J50" s="251">
        <f t="shared" si="2"/>
        <v>-6.2E-4</v>
      </c>
      <c r="K50" s="104" t="s">
        <v>42</v>
      </c>
      <c r="L50" s="105"/>
      <c r="M50" s="105"/>
      <c r="N50" s="105">
        <f>D50*I50</f>
        <v>0</v>
      </c>
      <c r="O50" s="105">
        <f t="shared" si="3"/>
        <v>0</v>
      </c>
      <c r="P50" s="245">
        <f>'Rider Rates'!D117</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78" t="s">
        <v>243</v>
      </c>
      <c r="B51" s="78"/>
      <c r="C51" s="78"/>
      <c r="D51" s="100">
        <f>IF(C16&lt;0,0,IF(C16&gt;833000,833000,C16))</f>
        <v>0</v>
      </c>
      <c r="E51" s="101" t="s">
        <v>41</v>
      </c>
      <c r="F51" s="102" t="s">
        <v>8</v>
      </c>
      <c r="G51" s="267"/>
      <c r="H51" s="267"/>
      <c r="I51" s="267">
        <f>'Rider Rates'!$B$125</f>
        <v>2.9050000000000001E-4</v>
      </c>
      <c r="J51" s="267">
        <f t="shared" si="2"/>
        <v>2.9050000000000001E-4</v>
      </c>
      <c r="K51" s="104" t="s">
        <v>42</v>
      </c>
      <c r="L51" s="268"/>
      <c r="M51" s="268"/>
      <c r="N51" s="268">
        <f>IF(D51*J51&gt;'Rider Rates'!$C$125,'Rider Rates'!$C$125,D51*J51)</f>
        <v>0</v>
      </c>
      <c r="O51" s="268">
        <f t="shared" si="3"/>
        <v>0</v>
      </c>
      <c r="P51" s="266">
        <f>'Rider Rates'!$E$125</f>
        <v>45292</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78" t="s">
        <v>244</v>
      </c>
      <c r="B52" s="78"/>
      <c r="C52" s="78"/>
      <c r="D52" s="123">
        <f>IF(C16&gt;833000,C16-833000,0)</f>
        <v>0</v>
      </c>
      <c r="E52" s="101" t="s">
        <v>41</v>
      </c>
      <c r="F52" s="102" t="s">
        <v>8</v>
      </c>
      <c r="G52" s="267"/>
      <c r="H52" s="267"/>
      <c r="I52" s="267">
        <f>'Rider Rates'!$B$126</f>
        <v>0</v>
      </c>
      <c r="J52" s="267">
        <f t="shared" si="2"/>
        <v>0</v>
      </c>
      <c r="K52" s="104" t="s">
        <v>42</v>
      </c>
      <c r="L52" s="268"/>
      <c r="M52" s="268"/>
      <c r="N52" s="268">
        <f>D52*J52</f>
        <v>0</v>
      </c>
      <c r="O52" s="268">
        <f t="shared" si="3"/>
        <v>0</v>
      </c>
      <c r="P52" s="266">
        <f>'Rider Rates'!$E$126</f>
        <v>44927</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241" t="s">
        <v>252</v>
      </c>
      <c r="B53" s="78"/>
      <c r="C53" s="78"/>
      <c r="D53" s="100">
        <f>D16</f>
        <v>0</v>
      </c>
      <c r="E53" s="101" t="s">
        <v>41</v>
      </c>
      <c r="F53" s="249" t="s">
        <v>8</v>
      </c>
      <c r="G53" s="103"/>
      <c r="H53" s="103"/>
      <c r="I53" s="103">
        <f>'Rider Rates'!$B$132</f>
        <v>0</v>
      </c>
      <c r="J53" s="237">
        <f t="shared" si="2"/>
        <v>0</v>
      </c>
      <c r="K53" s="104" t="s">
        <v>42</v>
      </c>
      <c r="L53" s="105"/>
      <c r="M53" s="105"/>
      <c r="N53" s="105">
        <f>D53*J53</f>
        <v>0</v>
      </c>
      <c r="O53" s="105">
        <f t="shared" si="3"/>
        <v>0</v>
      </c>
      <c r="P53" s="245">
        <f>'Rider Rates'!$D$130</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251</v>
      </c>
      <c r="B54" s="78"/>
      <c r="C54" s="78"/>
      <c r="D54" s="100"/>
      <c r="E54" s="101" t="s">
        <v>114</v>
      </c>
      <c r="F54" s="102" t="s">
        <v>8</v>
      </c>
      <c r="G54" s="265"/>
      <c r="H54" s="265"/>
      <c r="I54" s="265">
        <f>'Rider Rates'!$B$137</f>
        <v>0</v>
      </c>
      <c r="J54" s="265">
        <f t="shared" si="2"/>
        <v>0</v>
      </c>
      <c r="K54" s="104"/>
      <c r="L54" s="209"/>
      <c r="M54" s="209"/>
      <c r="N54" s="209">
        <f>J54</f>
        <v>0</v>
      </c>
      <c r="O54" s="209">
        <f t="shared" si="3"/>
        <v>0</v>
      </c>
      <c r="P54" s="266">
        <f>'Rider Rates'!$D$137</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253</v>
      </c>
      <c r="B55" s="78"/>
      <c r="C55" s="78"/>
      <c r="D55" s="100"/>
      <c r="E55" s="101"/>
      <c r="F55" s="102"/>
      <c r="G55" s="265"/>
      <c r="H55" s="265"/>
      <c r="I55" s="265"/>
      <c r="J55" s="265"/>
      <c r="K55" s="104"/>
      <c r="L55" s="209"/>
      <c r="M55" s="209"/>
      <c r="N55" s="209"/>
      <c r="O55" s="209"/>
      <c r="P55" s="266"/>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ht="13" x14ac:dyDescent="0.3">
      <c r="A56" s="179" t="s">
        <v>70</v>
      </c>
      <c r="B56" s="148"/>
      <c r="C56" s="148"/>
      <c r="D56" s="180"/>
      <c r="E56" s="181"/>
      <c r="F56" s="182"/>
      <c r="G56" s="182"/>
      <c r="H56" s="182"/>
      <c r="I56" s="182"/>
      <c r="J56" s="182"/>
      <c r="K56" s="183"/>
      <c r="L56" s="169">
        <f>SUM(L33:L55)</f>
        <v>0</v>
      </c>
      <c r="M56" s="169">
        <f>SUM(M33:M55)</f>
        <v>0</v>
      </c>
      <c r="N56" s="169">
        <f>SUM(N33:N55)</f>
        <v>277.74999999999994</v>
      </c>
      <c r="O56" s="169">
        <f>SUM(O33:O55)</f>
        <v>277.74999999999994</v>
      </c>
      <c r="P56" s="184"/>
    </row>
    <row r="57" spans="1:221" ht="13" x14ac:dyDescent="0.3">
      <c r="A57" s="37"/>
      <c r="D57" s="1"/>
      <c r="E57" s="35"/>
      <c r="F57" s="4"/>
      <c r="G57" s="42"/>
      <c r="H57" s="42"/>
      <c r="I57" s="42"/>
      <c r="J57" s="42"/>
      <c r="K57" s="36"/>
      <c r="L57" s="36"/>
      <c r="M57" s="36"/>
      <c r="N57" s="36"/>
      <c r="O57" s="34"/>
      <c r="P57" s="36"/>
    </row>
    <row r="58" spans="1:221" ht="13" x14ac:dyDescent="0.3">
      <c r="A58" s="81" t="s">
        <v>71</v>
      </c>
      <c r="B58" s="92"/>
      <c r="C58" s="92"/>
      <c r="D58" s="92"/>
      <c r="E58" s="92"/>
      <c r="F58" s="92"/>
      <c r="G58" s="92"/>
      <c r="H58" s="92"/>
      <c r="I58" s="92"/>
      <c r="J58" s="92"/>
      <c r="K58" s="92"/>
      <c r="L58" s="98">
        <f>L29+L56</f>
        <v>0</v>
      </c>
      <c r="M58" s="98">
        <f>M29+M56</f>
        <v>0</v>
      </c>
      <c r="N58" s="98">
        <f>N29+N56</f>
        <v>1102.75</v>
      </c>
      <c r="O58" s="98">
        <f>O29+O56</f>
        <v>1102.75</v>
      </c>
      <c r="P58" s="98"/>
    </row>
    <row r="59" spans="1:221" ht="13" x14ac:dyDescent="0.3">
      <c r="A59" s="37"/>
      <c r="B59" s="37"/>
      <c r="C59" s="37"/>
      <c r="D59" s="37"/>
      <c r="E59" s="37"/>
      <c r="F59" s="37"/>
      <c r="G59" s="37"/>
      <c r="H59" s="37"/>
      <c r="I59" s="37"/>
      <c r="J59" s="37"/>
      <c r="K59" s="37"/>
      <c r="L59" s="37"/>
      <c r="M59" s="37"/>
      <c r="N59" s="37"/>
      <c r="O59" s="40"/>
      <c r="P59" s="40"/>
    </row>
    <row r="60" spans="1:221" ht="13" x14ac:dyDescent="0.3">
      <c r="A60" s="37" t="s">
        <v>37</v>
      </c>
      <c r="B60" s="37"/>
      <c r="C60" s="37"/>
      <c r="D60" s="37"/>
      <c r="E60" s="37"/>
      <c r="F60" s="37"/>
      <c r="G60" s="37"/>
      <c r="H60" s="37"/>
      <c r="I60" s="37"/>
      <c r="J60" s="37"/>
      <c r="K60" s="37"/>
      <c r="L60" s="37"/>
      <c r="M60" s="37"/>
      <c r="N60" s="37"/>
      <c r="O60" s="45">
        <f>O25+O27+O56</f>
        <v>1102.75</v>
      </c>
      <c r="P60" s="245">
        <v>40967</v>
      </c>
    </row>
    <row r="61" spans="1:221" ht="13" x14ac:dyDescent="0.3">
      <c r="A61" s="37"/>
      <c r="B61" s="37"/>
      <c r="C61" s="37"/>
      <c r="D61" s="37"/>
      <c r="E61" s="37"/>
      <c r="F61" s="37"/>
      <c r="G61" s="46"/>
      <c r="H61" s="46"/>
      <c r="I61" s="46"/>
      <c r="J61" s="46"/>
      <c r="K61" s="36"/>
      <c r="L61" s="36"/>
      <c r="M61" s="36"/>
      <c r="N61" s="36"/>
      <c r="O61" s="40"/>
    </row>
    <row r="62" spans="1:221" ht="13" x14ac:dyDescent="0.3">
      <c r="A62" s="41" t="s">
        <v>116</v>
      </c>
      <c r="B62" s="37"/>
      <c r="C62" s="37"/>
      <c r="D62" s="37"/>
      <c r="E62" s="37"/>
      <c r="F62" s="37"/>
      <c r="G62" s="46"/>
      <c r="H62" s="46"/>
      <c r="I62" s="46"/>
      <c r="J62" s="46"/>
      <c r="K62" s="36"/>
      <c r="L62" s="36"/>
      <c r="M62" s="36"/>
      <c r="N62" s="36"/>
      <c r="O62" s="138">
        <f>MAX($O$58,$O$60)</f>
        <v>1102.75</v>
      </c>
    </row>
    <row r="63" spans="1:221" ht="13" x14ac:dyDescent="0.3">
      <c r="A63" s="37"/>
      <c r="B63" s="37"/>
      <c r="C63" s="37"/>
      <c r="D63" s="37"/>
      <c r="E63" s="37"/>
      <c r="F63" s="37"/>
      <c r="G63" s="46"/>
      <c r="H63" s="46"/>
      <c r="I63" s="46"/>
      <c r="J63" s="46"/>
      <c r="K63" s="36"/>
      <c r="L63" s="36"/>
      <c r="M63" s="36"/>
      <c r="N63" s="36"/>
      <c r="O63" s="40"/>
    </row>
    <row r="64" spans="1:221" ht="13" x14ac:dyDescent="0.3">
      <c r="A64" s="37"/>
      <c r="B64" s="37"/>
      <c r="C64" s="37"/>
      <c r="D64" s="37"/>
      <c r="E64" s="37"/>
      <c r="F64" s="37"/>
      <c r="G64" s="96" t="s">
        <v>85</v>
      </c>
      <c r="H64" s="46"/>
      <c r="I64" s="37"/>
      <c r="J64" s="46"/>
      <c r="K64" s="36"/>
      <c r="L64" s="191"/>
      <c r="M64" s="191"/>
      <c r="N64" s="191"/>
      <c r="O64" s="191">
        <f>ROUND(IF($C$16&lt;1,0,$O$62/($C$16*100)*10000),2)</f>
        <v>0</v>
      </c>
      <c r="P64" s="37" t="s">
        <v>86</v>
      </c>
    </row>
    <row r="65" spans="1:16" ht="13" x14ac:dyDescent="0.3">
      <c r="A65" s="37"/>
      <c r="B65" s="37"/>
      <c r="C65" s="37"/>
      <c r="D65" s="37"/>
      <c r="E65" s="37"/>
      <c r="F65" s="37"/>
      <c r="G65" s="242" t="s">
        <v>199</v>
      </c>
      <c r="H65" s="136"/>
      <c r="I65" s="133"/>
      <c r="J65" s="136"/>
      <c r="K65" s="137"/>
      <c r="L65" s="78"/>
      <c r="M65" s="78"/>
      <c r="N65" s="78"/>
      <c r="O65" s="243">
        <f>ROUND(IF($C$16&lt;1,0,(L58)/($C$16*100)*10000),2)</f>
        <v>0</v>
      </c>
      <c r="P65" s="25" t="s">
        <v>86</v>
      </c>
    </row>
    <row r="66" spans="1:16" ht="13" x14ac:dyDescent="0.3">
      <c r="A66" s="37"/>
      <c r="B66" s="37"/>
      <c r="C66" s="37"/>
      <c r="D66" s="37"/>
      <c r="E66" s="37"/>
      <c r="F66" s="37"/>
      <c r="G66" s="96"/>
      <c r="H66" s="46"/>
      <c r="I66" s="96"/>
      <c r="J66" s="46"/>
      <c r="K66" s="36"/>
      <c r="L66" s="36"/>
      <c r="M66" s="36"/>
      <c r="N66" s="36"/>
      <c r="O66" s="130"/>
      <c r="P66" s="37"/>
    </row>
    <row r="67" spans="1:16" ht="20.25" customHeight="1" x14ac:dyDescent="0.4">
      <c r="A67" s="3"/>
      <c r="B67" s="37"/>
      <c r="C67" s="37"/>
      <c r="D67" s="228" t="str">
        <f>IF('Customer Info'!$C$32=TRUE,"Notice: Billing Charge does not include Self Assessed KWH Tax"," ")</f>
        <v xml:space="preserve"> </v>
      </c>
      <c r="E67" s="3"/>
      <c r="F67" s="4"/>
      <c r="G67" s="121"/>
      <c r="H67" s="55"/>
      <c r="I67" s="34"/>
      <c r="J67" s="55"/>
      <c r="K67" s="37"/>
      <c r="L67" s="37"/>
      <c r="M67" s="37"/>
      <c r="N67" s="34"/>
    </row>
    <row r="68" spans="1:16" ht="13" x14ac:dyDescent="0.3">
      <c r="A68" s="37"/>
      <c r="B68" s="37"/>
      <c r="C68" s="37"/>
      <c r="D68" s="54"/>
      <c r="E68" s="3"/>
      <c r="F68" s="4"/>
      <c r="G68" s="55"/>
      <c r="H68" s="55"/>
      <c r="I68" s="93"/>
      <c r="J68" s="55"/>
      <c r="K68" s="37"/>
      <c r="L68" s="37"/>
      <c r="M68" s="37"/>
      <c r="N68" s="37"/>
      <c r="O68" s="40"/>
    </row>
    <row r="69" spans="1:16" ht="13" x14ac:dyDescent="0.3">
      <c r="A69" s="37"/>
      <c r="B69" s="37"/>
      <c r="C69" s="37"/>
      <c r="D69" s="54"/>
      <c r="E69" s="3"/>
      <c r="F69" s="4"/>
      <c r="G69" s="55"/>
      <c r="H69" s="55"/>
      <c r="I69" s="55"/>
      <c r="J69" s="55"/>
      <c r="K69" s="37"/>
      <c r="L69" s="37"/>
      <c r="M69" s="37"/>
      <c r="N69" s="37"/>
      <c r="O69" s="40"/>
    </row>
    <row r="70" spans="1:16" ht="13" x14ac:dyDescent="0.3">
      <c r="A70" s="41"/>
      <c r="B70" s="37"/>
      <c r="C70" s="37"/>
      <c r="D70" s="37"/>
      <c r="E70" s="37"/>
      <c r="F70" s="37"/>
      <c r="G70" s="37"/>
      <c r="H70" s="37"/>
      <c r="J70" s="37"/>
      <c r="K70" s="37"/>
      <c r="L70" s="40"/>
      <c r="M70" s="40"/>
      <c r="N70" s="40"/>
      <c r="O70" s="138"/>
    </row>
    <row r="71" spans="1:16" ht="13" x14ac:dyDescent="0.3">
      <c r="B71" s="37"/>
      <c r="C71" s="37"/>
      <c r="D71" s="37"/>
      <c r="E71" s="37"/>
      <c r="F71" s="37"/>
      <c r="G71" s="96"/>
      <c r="H71" s="37"/>
      <c r="I71" s="37"/>
      <c r="J71" s="37"/>
      <c r="K71" s="37"/>
      <c r="L71" s="60"/>
      <c r="M71" s="60"/>
      <c r="N71" s="60"/>
      <c r="O71" s="130"/>
      <c r="P71" s="37"/>
    </row>
    <row r="72" spans="1:16" ht="13" x14ac:dyDescent="0.3">
      <c r="G72" s="133"/>
      <c r="H72" s="56"/>
      <c r="I72" s="133"/>
      <c r="J72" s="56"/>
      <c r="K72" s="56"/>
      <c r="L72" s="134"/>
      <c r="M72" s="134"/>
      <c r="N72" s="134"/>
      <c r="O72" s="135"/>
      <c r="P72" s="25"/>
    </row>
    <row r="74" spans="1:16" x14ac:dyDescent="0.25">
      <c r="A74" s="434"/>
    </row>
    <row r="75" spans="1:16" x14ac:dyDescent="0.25">
      <c r="A75" s="434"/>
    </row>
    <row r="76" spans="1:16" x14ac:dyDescent="0.25">
      <c r="A76" s="434"/>
    </row>
    <row r="77" spans="1:16" x14ac:dyDescent="0.25">
      <c r="A77" s="434"/>
    </row>
    <row r="78" spans="1:16" x14ac:dyDescent="0.25">
      <c r="A78" s="434"/>
    </row>
    <row r="79" spans="1:16" x14ac:dyDescent="0.25">
      <c r="A79" s="434"/>
    </row>
    <row r="80" spans="1:1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sheetData>
  <sheetProtection algorithmName="SHA-512" hashValue="GgVKiJf8RUJQTlQUVrXlQG5/+FdfkLbAC57PTs9laE24KLAWLGru4Sms6CPvcROEnZrLqwVmiNKhlWRIjDzPUA==" saltValue="Tbe17kDHwpUugKkGvQFrVQ==" spinCount="100000" sheet="1" objects="1" scenarios="1"/>
  <mergeCells count="26">
    <mergeCell ref="A74:A88"/>
    <mergeCell ref="A4:P4"/>
    <mergeCell ref="A7:P7"/>
    <mergeCell ref="A11:I11"/>
    <mergeCell ref="D20:H20"/>
    <mergeCell ref="D21:H21"/>
    <mergeCell ref="G23:J23"/>
    <mergeCell ref="L23:O23"/>
    <mergeCell ref="FU2:GJ2"/>
    <mergeCell ref="GK2:GZ2"/>
    <mergeCell ref="HA2:HP2"/>
    <mergeCell ref="HQ2:IF2"/>
    <mergeCell ref="IG2:IV2"/>
    <mergeCell ref="A3:P3"/>
    <mergeCell ref="CC2:CR2"/>
    <mergeCell ref="CS2:DH2"/>
    <mergeCell ref="DI2:DX2"/>
    <mergeCell ref="DY2:EN2"/>
    <mergeCell ref="EO2:FD2"/>
    <mergeCell ref="FE2:FT2"/>
    <mergeCell ref="A1:P1"/>
    <mergeCell ref="A2:P2"/>
    <mergeCell ref="Q2:AF2"/>
    <mergeCell ref="AG2:AV2"/>
    <mergeCell ref="AW2:BL2"/>
    <mergeCell ref="BM2:CB2"/>
  </mergeCells>
  <printOptions horizontalCentered="1"/>
  <pageMargins left="0.5" right="0.5" top="0.25" bottom="0.25" header="0.25" footer="0.26"/>
  <pageSetup scale="60" orientation="landscape" r:id="rId1"/>
  <headerFooter alignWithMargins="0"/>
  <rowBreaks count="1" manualBreakCount="1">
    <brk id="7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Info">
                <anchor moveWithCells="1">
                  <from>
                    <xdr:col>0</xdr:col>
                    <xdr:colOff>31750</xdr:colOff>
                    <xdr:row>0</xdr:row>
                    <xdr:rowOff>31750</xdr:rowOff>
                  </from>
                  <to>
                    <xdr:col>0</xdr:col>
                    <xdr:colOff>374650</xdr:colOff>
                    <xdr:row>1</xdr:row>
                    <xdr:rowOff>31750</xdr:rowOff>
                  </to>
                </anchor>
              </controlPr>
            </control>
          </mc:Choice>
        </mc:AlternateContent>
        <mc:AlternateContent xmlns:mc="http://schemas.openxmlformats.org/markup-compatibility/2006">
          <mc:Choice Requires="x14">
            <control shapeId="83970" r:id="rId5" name="Button 2">
              <controlPr defaultSize="0" print="0" autoFill="0" autoPict="0" macro="[0]!Info">
                <anchor moveWithCells="1">
                  <from>
                    <xdr:col>15</xdr:col>
                    <xdr:colOff>279400</xdr:colOff>
                    <xdr:row>82</xdr:row>
                    <xdr:rowOff>50800</xdr:rowOff>
                  </from>
                  <to>
                    <xdr:col>16</xdr:col>
                    <xdr:colOff>31750</xdr:colOff>
                    <xdr:row>83</xdr:row>
                    <xdr:rowOff>88900</xdr:rowOff>
                  </to>
                </anchor>
              </controlPr>
            </control>
          </mc:Choice>
        </mc:AlternateContent>
        <mc:AlternateContent xmlns:mc="http://schemas.openxmlformats.org/markup-compatibility/2006">
          <mc:Choice Requires="x14">
            <control shapeId="83971"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83972"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83973" r:id="rId8" name="Button 5">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83974" r:id="rId9" name="Button 6">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83975" r:id="rId10" name="Button 7">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83976" r:id="rId11" name="Button 8">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83977" r:id="rId12" name="Button 9">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83978" r:id="rId13" name="Button 10">
              <controlPr defaultSize="0" print="0" autoFill="0" autoPict="0" macro="[0]!Info">
                <anchor moveWithCells="1">
                  <from>
                    <xdr:col>47</xdr:col>
                    <xdr:colOff>355600</xdr:colOff>
                    <xdr:row>0</xdr:row>
                    <xdr:rowOff>50800</xdr:rowOff>
                  </from>
                  <to>
                    <xdr:col>48</xdr:col>
                    <xdr:colOff>285750</xdr:colOff>
                    <xdr:row>1</xdr:row>
                    <xdr:rowOff>50800</xdr:rowOff>
                  </to>
                </anchor>
              </controlPr>
            </control>
          </mc:Choice>
        </mc:AlternateContent>
        <mc:AlternateContent xmlns:mc="http://schemas.openxmlformats.org/markup-compatibility/2006">
          <mc:Choice Requires="x14">
            <control shapeId="83979" r:id="rId14" name="Button 11">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83980" r:id="rId15" name="Button 12">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83981" r:id="rId16" name="Button 13">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83982" r:id="rId17" name="Button 14">
              <controlPr defaultSize="0" print="0" autoFill="0" autoPict="0" macro="[0]!Info">
                <anchor moveWithCells="1">
                  <from>
                    <xdr:col>63</xdr:col>
                    <xdr:colOff>247650</xdr:colOff>
                    <xdr:row>0</xdr:row>
                    <xdr:rowOff>50800</xdr:rowOff>
                  </from>
                  <to>
                    <xdr:col>64</xdr:col>
                    <xdr:colOff>184150</xdr:colOff>
                    <xdr:row>1</xdr:row>
                    <xdr:rowOff>50800</xdr:rowOff>
                  </to>
                </anchor>
              </controlPr>
            </control>
          </mc:Choice>
        </mc:AlternateContent>
        <mc:AlternateContent xmlns:mc="http://schemas.openxmlformats.org/markup-compatibility/2006">
          <mc:Choice Requires="x14">
            <control shapeId="83983" r:id="rId18" name="Button 15">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83984" r:id="rId19" name="Button 16">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83985" r:id="rId20" name="Button 17">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83986" r:id="rId21" name="Button 18">
              <controlPr defaultSize="0" print="0" autoFill="0" autoPict="0" macro="[0]!Info">
                <anchor moveWithCells="1">
                  <from>
                    <xdr:col>79</xdr:col>
                    <xdr:colOff>146050</xdr:colOff>
                    <xdr:row>0</xdr:row>
                    <xdr:rowOff>50800</xdr:rowOff>
                  </from>
                  <to>
                    <xdr:col>80</xdr:col>
                    <xdr:colOff>88900</xdr:colOff>
                    <xdr:row>1</xdr:row>
                    <xdr:rowOff>50800</xdr:rowOff>
                  </to>
                </anchor>
              </controlPr>
            </control>
          </mc:Choice>
        </mc:AlternateContent>
        <mc:AlternateContent xmlns:mc="http://schemas.openxmlformats.org/markup-compatibility/2006">
          <mc:Choice Requires="x14">
            <control shapeId="83987" r:id="rId22" name="Button 19">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83988" r:id="rId23" name="Button 20">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83989" r:id="rId24" name="Button 21">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83990" r:id="rId25" name="Button 22">
              <controlPr defaultSize="0" print="0" autoFill="0" autoPict="0" macro="[0]!Info">
                <anchor moveWithCells="1">
                  <from>
                    <xdr:col>95</xdr:col>
                    <xdr:colOff>50800</xdr:colOff>
                    <xdr:row>0</xdr:row>
                    <xdr:rowOff>50800</xdr:rowOff>
                  </from>
                  <to>
                    <xdr:col>95</xdr:col>
                    <xdr:colOff>393700</xdr:colOff>
                    <xdr:row>1</xdr:row>
                    <xdr:rowOff>50800</xdr:rowOff>
                  </to>
                </anchor>
              </controlPr>
            </control>
          </mc:Choice>
        </mc:AlternateContent>
        <mc:AlternateContent xmlns:mc="http://schemas.openxmlformats.org/markup-compatibility/2006">
          <mc:Choice Requires="x14">
            <control shapeId="83991" r:id="rId26" name="Button 23">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83992" r:id="rId27" name="Button 24">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83993" r:id="rId28" name="Button 25">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83994" r:id="rId29" name="Button 26">
              <controlPr defaultSize="0" print="0" autoFill="0" autoPict="0" macro="[0]!Info">
                <anchor moveWithCells="1">
                  <from>
                    <xdr:col>110</xdr:col>
                    <xdr:colOff>355600</xdr:colOff>
                    <xdr:row>0</xdr:row>
                    <xdr:rowOff>50800</xdr:rowOff>
                  </from>
                  <to>
                    <xdr:col>111</xdr:col>
                    <xdr:colOff>285750</xdr:colOff>
                    <xdr:row>1</xdr:row>
                    <xdr:rowOff>50800</xdr:rowOff>
                  </to>
                </anchor>
              </controlPr>
            </control>
          </mc:Choice>
        </mc:AlternateContent>
        <mc:AlternateContent xmlns:mc="http://schemas.openxmlformats.org/markup-compatibility/2006">
          <mc:Choice Requires="x14">
            <control shapeId="83995" r:id="rId30" name="Button 27">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83996" r:id="rId31" name="Button 28">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83997" r:id="rId32" name="Button 29">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83998" r:id="rId33" name="Button 30">
              <controlPr defaultSize="0" print="0" autoFill="0" autoPict="0" macro="[0]!Info">
                <anchor moveWithCells="1">
                  <from>
                    <xdr:col>126</xdr:col>
                    <xdr:colOff>260350</xdr:colOff>
                    <xdr:row>0</xdr:row>
                    <xdr:rowOff>50800</xdr:rowOff>
                  </from>
                  <to>
                    <xdr:col>127</xdr:col>
                    <xdr:colOff>184150</xdr:colOff>
                    <xdr:row>1</xdr:row>
                    <xdr:rowOff>50800</xdr:rowOff>
                  </to>
                </anchor>
              </controlPr>
            </control>
          </mc:Choice>
        </mc:AlternateContent>
        <mc:AlternateContent xmlns:mc="http://schemas.openxmlformats.org/markup-compatibility/2006">
          <mc:Choice Requires="x14">
            <control shapeId="83999" r:id="rId34" name="Button 31">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84000" r:id="rId35" name="Button 32">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84001" r:id="rId36" name="Button 33">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84002" r:id="rId37" name="Button 34">
              <controlPr defaultSize="0" print="0" autoFill="0" autoPict="0" macro="[0]!Info">
                <anchor moveWithCells="1">
                  <from>
                    <xdr:col>142</xdr:col>
                    <xdr:colOff>152400</xdr:colOff>
                    <xdr:row>0</xdr:row>
                    <xdr:rowOff>50800</xdr:rowOff>
                  </from>
                  <to>
                    <xdr:col>143</xdr:col>
                    <xdr:colOff>88900</xdr:colOff>
                    <xdr:row>1</xdr:row>
                    <xdr:rowOff>50800</xdr:rowOff>
                  </to>
                </anchor>
              </controlPr>
            </control>
          </mc:Choice>
        </mc:AlternateContent>
        <mc:AlternateContent xmlns:mc="http://schemas.openxmlformats.org/markup-compatibility/2006">
          <mc:Choice Requires="x14">
            <control shapeId="84003" r:id="rId38" name="Button 35">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84004" r:id="rId39" name="Button 36">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84005" r:id="rId40" name="Button 37">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84006" r:id="rId41" name="Button 38">
              <controlPr defaultSize="0" print="0" autoFill="0" autoPict="0" macro="[0]!Info">
                <anchor moveWithCells="1">
                  <from>
                    <xdr:col>158</xdr:col>
                    <xdr:colOff>50800</xdr:colOff>
                    <xdr:row>0</xdr:row>
                    <xdr:rowOff>50800</xdr:rowOff>
                  </from>
                  <to>
                    <xdr:col>158</xdr:col>
                    <xdr:colOff>393700</xdr:colOff>
                    <xdr:row>1</xdr:row>
                    <xdr:rowOff>50800</xdr:rowOff>
                  </to>
                </anchor>
              </controlPr>
            </control>
          </mc:Choice>
        </mc:AlternateContent>
        <mc:AlternateContent xmlns:mc="http://schemas.openxmlformats.org/markup-compatibility/2006">
          <mc:Choice Requires="x14">
            <control shapeId="84007" r:id="rId42" name="Button 39">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84008" r:id="rId43" name="Button 40">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84009" r:id="rId44" name="Button 41">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84010" r:id="rId45" name="Button 42">
              <controlPr defaultSize="0" print="0" autoFill="0" autoPict="0" macro="[0]!Info">
                <anchor moveWithCells="1">
                  <from>
                    <xdr:col>173</xdr:col>
                    <xdr:colOff>361950</xdr:colOff>
                    <xdr:row>0</xdr:row>
                    <xdr:rowOff>50800</xdr:rowOff>
                  </from>
                  <to>
                    <xdr:col>174</xdr:col>
                    <xdr:colOff>285750</xdr:colOff>
                    <xdr:row>1</xdr:row>
                    <xdr:rowOff>50800</xdr:rowOff>
                  </to>
                </anchor>
              </controlPr>
            </control>
          </mc:Choice>
        </mc:AlternateContent>
        <mc:AlternateContent xmlns:mc="http://schemas.openxmlformats.org/markup-compatibility/2006">
          <mc:Choice Requires="x14">
            <control shapeId="84011" r:id="rId46" name="Button 43">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84012" r:id="rId47" name="Button 44">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84013" r:id="rId48" name="Button 45">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84014" r:id="rId49" name="Button 46">
              <controlPr defaultSize="0" print="0" autoFill="0" autoPict="0" macro="[0]!Info">
                <anchor moveWithCells="1">
                  <from>
                    <xdr:col>189</xdr:col>
                    <xdr:colOff>260350</xdr:colOff>
                    <xdr:row>0</xdr:row>
                    <xdr:rowOff>50800</xdr:rowOff>
                  </from>
                  <to>
                    <xdr:col>190</xdr:col>
                    <xdr:colOff>184150</xdr:colOff>
                    <xdr:row>1</xdr:row>
                    <xdr:rowOff>50800</xdr:rowOff>
                  </to>
                </anchor>
              </controlPr>
            </control>
          </mc:Choice>
        </mc:AlternateContent>
        <mc:AlternateContent xmlns:mc="http://schemas.openxmlformats.org/markup-compatibility/2006">
          <mc:Choice Requires="x14">
            <control shapeId="84015" r:id="rId50" name="Button 47">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84016" r:id="rId51" name="Button 48">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84017" r:id="rId52" name="Button 49">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84018" r:id="rId53" name="Button 50">
              <controlPr defaultSize="0" print="0" autoFill="0" autoPict="0" macro="[0]!Info">
                <anchor moveWithCells="1">
                  <from>
                    <xdr:col>205</xdr:col>
                    <xdr:colOff>165100</xdr:colOff>
                    <xdr:row>0</xdr:row>
                    <xdr:rowOff>50800</xdr:rowOff>
                  </from>
                  <to>
                    <xdr:col>206</xdr:col>
                    <xdr:colOff>88900</xdr:colOff>
                    <xdr:row>1</xdr:row>
                    <xdr:rowOff>50800</xdr:rowOff>
                  </to>
                </anchor>
              </controlPr>
            </control>
          </mc:Choice>
        </mc:AlternateContent>
        <mc:AlternateContent xmlns:mc="http://schemas.openxmlformats.org/markup-compatibility/2006">
          <mc:Choice Requires="x14">
            <control shapeId="84019" r:id="rId54" name="Button 51">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84020" r:id="rId55" name="Button 52">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84021" r:id="rId56" name="Button 53">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84022" r:id="rId57" name="Button 54">
              <controlPr defaultSize="0" print="0" autoFill="0" autoPict="0" macro="[0]!Info">
                <anchor moveWithCells="1">
                  <from>
                    <xdr:col>221</xdr:col>
                    <xdr:colOff>57150</xdr:colOff>
                    <xdr:row>0</xdr:row>
                    <xdr:rowOff>50800</xdr:rowOff>
                  </from>
                  <to>
                    <xdr:col>221</xdr:col>
                    <xdr:colOff>393700</xdr:colOff>
                    <xdr:row>1</xdr:row>
                    <xdr:rowOff>50800</xdr:rowOff>
                  </to>
                </anchor>
              </controlPr>
            </control>
          </mc:Choice>
        </mc:AlternateContent>
        <mc:AlternateContent xmlns:mc="http://schemas.openxmlformats.org/markup-compatibility/2006">
          <mc:Choice Requires="x14">
            <control shapeId="84023" r:id="rId58" name="Button 55">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84024" r:id="rId59" name="Button 56">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84025" r:id="rId60" name="Button 57">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mc:AlternateContent xmlns:mc="http://schemas.openxmlformats.org/markup-compatibility/2006">
          <mc:Choice Requires="x14">
            <control shapeId="84026" r:id="rId61" name="Button 58">
              <controlPr defaultSize="0" print="0" autoFill="0" autoPict="0" macro="[0]!Info">
                <anchor moveWithCells="1">
                  <from>
                    <xdr:col>236</xdr:col>
                    <xdr:colOff>361950</xdr:colOff>
                    <xdr:row>0</xdr:row>
                    <xdr:rowOff>50800</xdr:rowOff>
                  </from>
                  <to>
                    <xdr:col>237</xdr:col>
                    <xdr:colOff>298450</xdr:colOff>
                    <xdr:row>1</xdr:row>
                    <xdr:rowOff>50800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tabColor theme="8" tint="0.79998168889431442"/>
    <pageSetUpPr fitToPage="1"/>
  </sheetPr>
  <dimension ref="A1:J139"/>
  <sheetViews>
    <sheetView topLeftCell="A94" workbookViewId="0">
      <selection activeCell="P124" sqref="P124"/>
    </sheetView>
  </sheetViews>
  <sheetFormatPr defaultRowHeight="12.5" x14ac:dyDescent="0.25"/>
  <cols>
    <col min="1" max="1" width="70.1796875" bestFit="1" customWidth="1"/>
    <col min="2" max="2" width="13.453125" style="18" bestFit="1" customWidth="1"/>
    <col min="3" max="3" width="12.26953125" style="18" customWidth="1"/>
    <col min="4" max="4" width="13.54296875" style="18" bestFit="1" customWidth="1"/>
    <col min="5" max="5" width="11.7265625" style="18" bestFit="1" customWidth="1"/>
    <col min="6" max="6" width="14.81640625" style="18" customWidth="1"/>
    <col min="7" max="7" width="15.54296875" style="18" customWidth="1"/>
    <col min="8" max="8" width="11.7265625" bestFit="1" customWidth="1"/>
  </cols>
  <sheetData>
    <row r="1" spans="1:10" ht="13" x14ac:dyDescent="0.3">
      <c r="A1" s="79" t="s">
        <v>133</v>
      </c>
      <c r="B1" s="386" t="s">
        <v>1</v>
      </c>
      <c r="C1" s="386"/>
      <c r="D1" s="386" t="s">
        <v>7</v>
      </c>
      <c r="E1" s="386" t="s">
        <v>1</v>
      </c>
      <c r="F1" s="386" t="s">
        <v>7</v>
      </c>
    </row>
    <row r="3" spans="1:10" ht="13" x14ac:dyDescent="0.3">
      <c r="A3" s="25" t="s">
        <v>136</v>
      </c>
      <c r="B3" s="278"/>
      <c r="C3" s="278"/>
    </row>
    <row r="4" spans="1:10" x14ac:dyDescent="0.25">
      <c r="A4" s="145" t="s">
        <v>134</v>
      </c>
      <c r="B4" s="278">
        <v>5.9216E-3</v>
      </c>
      <c r="C4" s="387"/>
      <c r="D4" s="273">
        <v>45293</v>
      </c>
    </row>
    <row r="5" spans="1:10" x14ac:dyDescent="0.25">
      <c r="A5" s="145" t="s">
        <v>135</v>
      </c>
      <c r="B5" s="278">
        <v>1.7560000000000001E-4</v>
      </c>
      <c r="C5" s="387"/>
      <c r="D5" s="273">
        <v>44925</v>
      </c>
    </row>
    <row r="6" spans="1:10" x14ac:dyDescent="0.25">
      <c r="B6" s="278"/>
      <c r="C6" s="278"/>
      <c r="D6" s="278"/>
    </row>
    <row r="7" spans="1:10" ht="13" x14ac:dyDescent="0.3">
      <c r="A7" s="25" t="s">
        <v>137</v>
      </c>
      <c r="B7" s="278"/>
      <c r="C7" s="278"/>
      <c r="D7" s="273">
        <v>44531</v>
      </c>
    </row>
    <row r="8" spans="1:10" x14ac:dyDescent="0.25">
      <c r="A8" s="145" t="s">
        <v>138</v>
      </c>
      <c r="B8" s="388">
        <v>4.6499999999999996E-3</v>
      </c>
      <c r="C8" s="388"/>
      <c r="D8" s="273"/>
    </row>
    <row r="9" spans="1:10" x14ac:dyDescent="0.25">
      <c r="A9" s="227" t="s">
        <v>140</v>
      </c>
      <c r="B9" s="388">
        <v>4.1900000000000001E-3</v>
      </c>
      <c r="C9" s="388"/>
      <c r="D9" s="273"/>
    </row>
    <row r="10" spans="1:10" x14ac:dyDescent="0.25">
      <c r="A10" s="145" t="s">
        <v>139</v>
      </c>
      <c r="B10" s="388">
        <v>3.63E-3</v>
      </c>
      <c r="C10" s="388"/>
      <c r="D10" s="273"/>
    </row>
    <row r="11" spans="1:10" x14ac:dyDescent="0.25">
      <c r="B11" s="278"/>
      <c r="C11" s="278"/>
      <c r="D11" s="278"/>
    </row>
    <row r="12" spans="1:10" ht="13" x14ac:dyDescent="0.3">
      <c r="A12" s="133" t="s">
        <v>141</v>
      </c>
      <c r="B12" s="389">
        <v>0</v>
      </c>
      <c r="C12" s="389"/>
      <c r="D12" s="273">
        <v>44531</v>
      </c>
    </row>
    <row r="13" spans="1:10" x14ac:dyDescent="0.25">
      <c r="B13" s="278"/>
      <c r="C13" s="278"/>
      <c r="D13" s="278"/>
    </row>
    <row r="14" spans="1:10" ht="13" x14ac:dyDescent="0.3">
      <c r="A14" s="277" t="s">
        <v>159</v>
      </c>
      <c r="B14" s="468"/>
      <c r="C14" s="469"/>
      <c r="D14" s="469"/>
      <c r="G14" s="277"/>
      <c r="H14" s="468"/>
      <c r="I14" s="468"/>
      <c r="J14" s="468"/>
    </row>
    <row r="15" spans="1:10" ht="13" x14ac:dyDescent="0.3">
      <c r="A15" s="275" t="s">
        <v>258</v>
      </c>
      <c r="B15" s="272">
        <v>0</v>
      </c>
      <c r="C15" s="272"/>
      <c r="D15" s="273">
        <v>45167</v>
      </c>
      <c r="G15" s="275"/>
      <c r="H15" s="272"/>
      <c r="I15" s="272"/>
      <c r="J15" s="273"/>
    </row>
    <row r="16" spans="1:10" ht="13" x14ac:dyDescent="0.3">
      <c r="A16" s="274" t="s">
        <v>259</v>
      </c>
      <c r="B16" s="272">
        <v>0</v>
      </c>
      <c r="C16" s="272"/>
      <c r="D16" s="273">
        <v>45197</v>
      </c>
    </row>
    <row r="17" spans="1:6" x14ac:dyDescent="0.25">
      <c r="A17" s="18"/>
      <c r="B17" s="278"/>
      <c r="C17" s="278"/>
      <c r="D17" s="278"/>
    </row>
    <row r="18" spans="1:6" ht="13" x14ac:dyDescent="0.3">
      <c r="A18" s="25" t="s">
        <v>248</v>
      </c>
      <c r="B18" s="390">
        <v>0</v>
      </c>
      <c r="C18" s="273"/>
      <c r="D18" s="273">
        <v>44531</v>
      </c>
      <c r="E18" s="391">
        <v>0</v>
      </c>
      <c r="F18" s="273">
        <v>44531</v>
      </c>
    </row>
    <row r="19" spans="1:6" x14ac:dyDescent="0.25">
      <c r="B19" s="278"/>
      <c r="C19" s="278"/>
      <c r="D19" s="278"/>
    </row>
    <row r="20" spans="1:6" ht="13" x14ac:dyDescent="0.3">
      <c r="A20" s="133" t="s">
        <v>187</v>
      </c>
      <c r="B20" s="392" t="s">
        <v>172</v>
      </c>
      <c r="C20" s="392" t="s">
        <v>173</v>
      </c>
      <c r="D20" s="278"/>
    </row>
    <row r="21" spans="1:6" x14ac:dyDescent="0.25">
      <c r="A21" s="227" t="s">
        <v>154</v>
      </c>
      <c r="B21" s="408">
        <f t="shared" ref="B21:C23" si="0">10.589/100</f>
        <v>0.10589</v>
      </c>
      <c r="C21" s="408">
        <f t="shared" si="0"/>
        <v>0.10589</v>
      </c>
      <c r="D21" s="273">
        <v>45078</v>
      </c>
    </row>
    <row r="22" spans="1:6" x14ac:dyDescent="0.25">
      <c r="A22" s="293" t="s">
        <v>306</v>
      </c>
      <c r="B22" s="408">
        <f t="shared" si="0"/>
        <v>0.10589</v>
      </c>
      <c r="C22" s="408">
        <f t="shared" si="0"/>
        <v>0.10589</v>
      </c>
      <c r="D22" s="273">
        <v>45078</v>
      </c>
    </row>
    <row r="23" spans="1:6" x14ac:dyDescent="0.25">
      <c r="A23" s="227" t="s">
        <v>189</v>
      </c>
      <c r="B23" s="408">
        <f t="shared" si="0"/>
        <v>0.10589</v>
      </c>
      <c r="C23" s="408">
        <f t="shared" si="0"/>
        <v>0.10589</v>
      </c>
      <c r="D23" s="273">
        <v>45078</v>
      </c>
    </row>
    <row r="24" spans="1:6" x14ac:dyDescent="0.25">
      <c r="A24" s="227" t="s">
        <v>190</v>
      </c>
      <c r="B24" s="409">
        <f>10.234/100</f>
        <v>0.10234</v>
      </c>
      <c r="C24" s="409">
        <f>10.234/100</f>
        <v>0.10234</v>
      </c>
      <c r="D24" s="273">
        <v>45078</v>
      </c>
    </row>
    <row r="25" spans="1:6" x14ac:dyDescent="0.25">
      <c r="A25" s="227" t="s">
        <v>191</v>
      </c>
      <c r="B25" s="409">
        <f>10.049/100</f>
        <v>0.10049</v>
      </c>
      <c r="C25" s="409">
        <f>10.049/100</f>
        <v>0.10049</v>
      </c>
      <c r="D25" s="273">
        <v>45078</v>
      </c>
    </row>
    <row r="26" spans="1:6" x14ac:dyDescent="0.25">
      <c r="A26" s="145"/>
      <c r="B26" s="272"/>
      <c r="C26" s="272"/>
      <c r="D26" s="273"/>
    </row>
    <row r="27" spans="1:6" ht="13" x14ac:dyDescent="0.3">
      <c r="A27" s="133" t="s">
        <v>161</v>
      </c>
      <c r="B27" s="393" t="s">
        <v>172</v>
      </c>
      <c r="C27" s="393" t="s">
        <v>173</v>
      </c>
      <c r="D27" s="273"/>
    </row>
    <row r="28" spans="1:6" x14ac:dyDescent="0.25">
      <c r="A28" s="227" t="s">
        <v>197</v>
      </c>
      <c r="B28" s="409">
        <f>0.388/100</f>
        <v>3.8800000000000002E-3</v>
      </c>
      <c r="C28" s="387"/>
      <c r="D28" s="273">
        <v>45078</v>
      </c>
    </row>
    <row r="29" spans="1:6" x14ac:dyDescent="0.25">
      <c r="A29" s="145" t="s">
        <v>169</v>
      </c>
      <c r="B29" s="410">
        <f>0.53821/100</f>
        <v>5.3820999999999999E-3</v>
      </c>
      <c r="C29" s="410">
        <f>0.53821/100</f>
        <v>5.3820999999999999E-3</v>
      </c>
      <c r="D29" s="273">
        <v>45078</v>
      </c>
    </row>
    <row r="30" spans="1:6" x14ac:dyDescent="0.25">
      <c r="A30" s="145" t="s">
        <v>170</v>
      </c>
      <c r="B30" s="410">
        <f>0.51126/100</f>
        <v>5.1126000000000001E-3</v>
      </c>
      <c r="C30" s="410">
        <f>0.29126/100</f>
        <v>2.9126E-3</v>
      </c>
      <c r="D30" s="273">
        <v>45078</v>
      </c>
    </row>
    <row r="31" spans="1:6" x14ac:dyDescent="0.25">
      <c r="A31" s="145" t="s">
        <v>171</v>
      </c>
      <c r="B31" s="410">
        <v>4.7838000000000004E-3</v>
      </c>
      <c r="C31" s="410">
        <f>0.34063/100</f>
        <v>3.4062999999999997E-3</v>
      </c>
      <c r="D31" s="273">
        <v>45078</v>
      </c>
    </row>
    <row r="32" spans="1:6" x14ac:dyDescent="0.25">
      <c r="A32" s="145" t="s">
        <v>180</v>
      </c>
      <c r="B32" s="410">
        <f>0.67145/100</f>
        <v>6.7145E-3</v>
      </c>
      <c r="C32" s="272"/>
      <c r="D32" s="273">
        <v>45078</v>
      </c>
    </row>
    <row r="33" spans="1:6" x14ac:dyDescent="0.25">
      <c r="A33" s="145" t="s">
        <v>179</v>
      </c>
      <c r="B33" s="410">
        <f>0.23035/100</f>
        <v>2.3035E-3</v>
      </c>
      <c r="C33" s="387"/>
      <c r="D33" s="273">
        <v>45078</v>
      </c>
    </row>
    <row r="34" spans="1:6" x14ac:dyDescent="0.25">
      <c r="A34" s="145" t="s">
        <v>233</v>
      </c>
      <c r="B34" s="410">
        <f>3.24142/100</f>
        <v>3.2414200000000004E-2</v>
      </c>
      <c r="C34" s="387"/>
      <c r="D34" s="273">
        <v>45078</v>
      </c>
    </row>
    <row r="35" spans="1:6" x14ac:dyDescent="0.25">
      <c r="A35" s="145" t="s">
        <v>234</v>
      </c>
      <c r="B35" s="410">
        <v>0</v>
      </c>
      <c r="C35" s="387"/>
      <c r="D35" s="273">
        <v>45078</v>
      </c>
    </row>
    <row r="36" spans="1:6" x14ac:dyDescent="0.25">
      <c r="A36" s="145" t="s">
        <v>143</v>
      </c>
      <c r="B36" s="410">
        <f>0.331/100</f>
        <v>3.31E-3</v>
      </c>
      <c r="C36" s="272"/>
      <c r="D36" s="273">
        <v>45078</v>
      </c>
    </row>
    <row r="37" spans="1:6" x14ac:dyDescent="0.25">
      <c r="A37" s="227" t="s">
        <v>189</v>
      </c>
      <c r="B37" s="410">
        <f>0.309/100</f>
        <v>3.0899999999999999E-3</v>
      </c>
      <c r="C37" s="387"/>
      <c r="D37" s="273">
        <v>45078</v>
      </c>
    </row>
    <row r="38" spans="1:6" x14ac:dyDescent="0.25">
      <c r="A38" s="227" t="s">
        <v>238</v>
      </c>
      <c r="B38" s="410">
        <f>2.7757/100</f>
        <v>2.7757E-2</v>
      </c>
      <c r="C38" s="387"/>
      <c r="D38" s="273">
        <v>45078</v>
      </c>
    </row>
    <row r="39" spans="1:6" x14ac:dyDescent="0.25">
      <c r="A39" s="227" t="s">
        <v>237</v>
      </c>
      <c r="B39" s="410">
        <v>0</v>
      </c>
      <c r="C39" s="387"/>
      <c r="D39" s="273">
        <v>45078</v>
      </c>
    </row>
    <row r="40" spans="1:6" x14ac:dyDescent="0.25">
      <c r="A40" s="145" t="s">
        <v>163</v>
      </c>
      <c r="B40" s="410">
        <f>0.99068/100</f>
        <v>9.9068000000000003E-3</v>
      </c>
      <c r="C40" s="278"/>
      <c r="D40" s="273">
        <v>45078</v>
      </c>
    </row>
    <row r="41" spans="1:6" x14ac:dyDescent="0.25">
      <c r="A41" s="145" t="s">
        <v>164</v>
      </c>
      <c r="B41" s="387">
        <f>0.00339/100</f>
        <v>3.3899999999999997E-5</v>
      </c>
      <c r="C41" s="278"/>
      <c r="D41" s="273">
        <v>45078</v>
      </c>
    </row>
    <row r="42" spans="1:6" x14ac:dyDescent="0.25">
      <c r="A42" s="227" t="s">
        <v>190</v>
      </c>
      <c r="B42" s="387">
        <f>0.231/100</f>
        <v>2.31E-3</v>
      </c>
      <c r="C42" s="278"/>
      <c r="D42" s="273">
        <v>45078</v>
      </c>
    </row>
    <row r="43" spans="1:6" x14ac:dyDescent="0.25">
      <c r="A43" s="227" t="s">
        <v>191</v>
      </c>
      <c r="B43" s="387">
        <f>0.168/100</f>
        <v>1.6800000000000001E-3</v>
      </c>
      <c r="C43" s="278"/>
      <c r="D43" s="273">
        <v>45078</v>
      </c>
    </row>
    <row r="44" spans="1:6" x14ac:dyDescent="0.25">
      <c r="D44" s="273"/>
    </row>
    <row r="45" spans="1:6" x14ac:dyDescent="0.25">
      <c r="A45" s="145"/>
      <c r="D45" s="394"/>
    </row>
    <row r="46" spans="1:6" ht="13" x14ac:dyDescent="0.3">
      <c r="A46" s="384" t="s">
        <v>192</v>
      </c>
      <c r="B46" s="419">
        <v>-4.8640000000000001E-4</v>
      </c>
      <c r="C46" s="278"/>
      <c r="D46" s="273">
        <v>45383</v>
      </c>
      <c r="E46" s="278"/>
      <c r="F46" s="278"/>
    </row>
    <row r="47" spans="1:6" x14ac:dyDescent="0.25">
      <c r="A47" s="145"/>
      <c r="B47" s="278"/>
      <c r="C47" s="278"/>
      <c r="D47" s="273"/>
      <c r="E47" s="278"/>
      <c r="F47" s="278"/>
    </row>
    <row r="48" spans="1:6" ht="13" x14ac:dyDescent="0.3">
      <c r="A48" s="133" t="s">
        <v>220</v>
      </c>
      <c r="B48" s="395" t="s">
        <v>223</v>
      </c>
      <c r="C48" s="395" t="s">
        <v>224</v>
      </c>
      <c r="D48" s="395" t="s">
        <v>34</v>
      </c>
      <c r="E48" s="395" t="s">
        <v>225</v>
      </c>
      <c r="F48" s="278"/>
    </row>
    <row r="49" spans="1:8" x14ac:dyDescent="0.25">
      <c r="A49" s="227" t="s">
        <v>221</v>
      </c>
      <c r="B49" s="412">
        <v>1.47</v>
      </c>
      <c r="C49" s="396">
        <v>0</v>
      </c>
      <c r="D49" s="397">
        <f>SUM(B49:C49)</f>
        <v>1.47</v>
      </c>
      <c r="E49" s="398">
        <v>45292</v>
      </c>
      <c r="F49" s="397"/>
    </row>
    <row r="50" spans="1:8" x14ac:dyDescent="0.25">
      <c r="A50" s="227" t="s">
        <v>222</v>
      </c>
      <c r="B50" s="412">
        <v>1.8006999999999999E-3</v>
      </c>
      <c r="C50" s="396">
        <v>-1.8E-5</v>
      </c>
      <c r="D50" s="413">
        <f>SUM(B50:C50)</f>
        <v>1.7826999999999999E-3</v>
      </c>
      <c r="E50" s="398">
        <v>45292</v>
      </c>
      <c r="F50" s="403"/>
    </row>
    <row r="51" spans="1:8" x14ac:dyDescent="0.25">
      <c r="A51" s="227"/>
      <c r="B51" s="254"/>
      <c r="C51" s="278"/>
      <c r="D51" s="273"/>
    </row>
    <row r="52" spans="1:8" x14ac:dyDescent="0.25">
      <c r="A52" s="227"/>
      <c r="B52" s="254"/>
      <c r="C52" s="278"/>
      <c r="D52" s="273"/>
    </row>
    <row r="53" spans="1:8" x14ac:dyDescent="0.25">
      <c r="A53" s="227"/>
      <c r="B53" s="254"/>
      <c r="D53" s="273"/>
    </row>
    <row r="54" spans="1:8" x14ac:dyDescent="0.25">
      <c r="A54" s="145"/>
      <c r="D54" s="394"/>
    </row>
    <row r="55" spans="1:8" ht="13" x14ac:dyDescent="0.3">
      <c r="A55" s="133" t="s">
        <v>193</v>
      </c>
      <c r="D55" s="278"/>
    </row>
    <row r="56" spans="1:8" x14ac:dyDescent="0.25">
      <c r="A56" s="227" t="s">
        <v>154</v>
      </c>
      <c r="B56" s="83">
        <v>4.3837099999999997E-2</v>
      </c>
      <c r="C56" s="278"/>
      <c r="D56" s="273">
        <v>45383</v>
      </c>
      <c r="F56" s="399" t="s">
        <v>290</v>
      </c>
      <c r="G56" s="84">
        <v>2.3467399999999999E-2</v>
      </c>
      <c r="H56" s="273">
        <v>45383</v>
      </c>
    </row>
    <row r="57" spans="1:8" x14ac:dyDescent="0.25">
      <c r="A57" s="227" t="s">
        <v>188</v>
      </c>
      <c r="B57" s="83">
        <v>2.3467399999999999E-2</v>
      </c>
      <c r="C57" s="278"/>
      <c r="D57" s="273">
        <v>45383</v>
      </c>
      <c r="F57" s="399" t="s">
        <v>291</v>
      </c>
      <c r="G57" s="84">
        <v>3.2698999999999999E-2</v>
      </c>
      <c r="H57" s="273">
        <v>45383</v>
      </c>
    </row>
    <row r="58" spans="1:8" x14ac:dyDescent="0.25">
      <c r="A58" s="227" t="s">
        <v>189</v>
      </c>
      <c r="B58" s="83">
        <v>6.0079999999999997E-4</v>
      </c>
      <c r="C58" s="278"/>
      <c r="D58" s="273">
        <v>45383</v>
      </c>
    </row>
    <row r="59" spans="1:8" x14ac:dyDescent="0.25">
      <c r="A59" s="227" t="s">
        <v>190</v>
      </c>
      <c r="B59" s="83">
        <v>5.8060000000000002E-4</v>
      </c>
      <c r="C59" s="278"/>
      <c r="D59" s="273">
        <v>45383</v>
      </c>
    </row>
    <row r="60" spans="1:8" x14ac:dyDescent="0.25">
      <c r="A60" s="227" t="s">
        <v>191</v>
      </c>
      <c r="B60" s="83">
        <v>5.7019999999999998E-4</v>
      </c>
      <c r="C60" s="278"/>
      <c r="D60" s="273">
        <v>45383</v>
      </c>
    </row>
    <row r="61" spans="1:8" x14ac:dyDescent="0.25">
      <c r="C61" s="278"/>
      <c r="D61" s="278"/>
    </row>
    <row r="62" spans="1:8" ht="13" x14ac:dyDescent="0.3">
      <c r="A62" s="133" t="s">
        <v>194</v>
      </c>
      <c r="C62" s="278"/>
      <c r="D62" s="278"/>
    </row>
    <row r="63" spans="1:8" x14ac:dyDescent="0.25">
      <c r="A63" s="227" t="s">
        <v>189</v>
      </c>
      <c r="B63" s="163">
        <v>6.73</v>
      </c>
      <c r="C63" s="278"/>
      <c r="D63" s="273">
        <v>45383</v>
      </c>
    </row>
    <row r="64" spans="1:8" x14ac:dyDescent="0.25">
      <c r="A64" s="227" t="s">
        <v>190</v>
      </c>
      <c r="B64" s="163">
        <v>6.76</v>
      </c>
      <c r="C64" s="278"/>
      <c r="D64" s="273">
        <v>45383</v>
      </c>
    </row>
    <row r="65" spans="1:4" x14ac:dyDescent="0.25">
      <c r="A65" s="227" t="s">
        <v>191</v>
      </c>
      <c r="B65" s="163">
        <v>7.45</v>
      </c>
      <c r="C65" s="278"/>
      <c r="D65" s="273">
        <v>45383</v>
      </c>
    </row>
    <row r="66" spans="1:4" x14ac:dyDescent="0.25">
      <c r="A66" s="145"/>
      <c r="D66" s="273"/>
    </row>
    <row r="67" spans="1:4" ht="13" x14ac:dyDescent="0.3">
      <c r="A67" s="133" t="s">
        <v>148</v>
      </c>
      <c r="C67" s="401" t="s">
        <v>217</v>
      </c>
      <c r="D67" s="273"/>
    </row>
    <row r="68" spans="1:4" x14ac:dyDescent="0.25">
      <c r="A68" s="145" t="s">
        <v>142</v>
      </c>
      <c r="B68" s="387">
        <v>0</v>
      </c>
      <c r="C68" s="387">
        <v>0</v>
      </c>
      <c r="D68" s="394">
        <v>44531</v>
      </c>
    </row>
    <row r="69" spans="1:4" x14ac:dyDescent="0.25">
      <c r="A69" s="145" t="s">
        <v>143</v>
      </c>
      <c r="B69" s="387">
        <v>0</v>
      </c>
      <c r="C69" s="387">
        <v>0</v>
      </c>
      <c r="D69" s="394">
        <v>44531</v>
      </c>
    </row>
    <row r="70" spans="1:4" x14ac:dyDescent="0.25">
      <c r="A70" s="145" t="s">
        <v>149</v>
      </c>
      <c r="B70" s="387">
        <v>0</v>
      </c>
      <c r="C70" s="387">
        <v>0</v>
      </c>
      <c r="D70" s="394">
        <v>44531</v>
      </c>
    </row>
    <row r="71" spans="1:4" x14ac:dyDescent="0.25">
      <c r="A71" s="145" t="s">
        <v>144</v>
      </c>
      <c r="B71" s="387">
        <v>0</v>
      </c>
      <c r="C71" s="387">
        <v>0</v>
      </c>
      <c r="D71" s="394">
        <v>44531</v>
      </c>
    </row>
    <row r="72" spans="1:4" x14ac:dyDescent="0.25">
      <c r="A72" s="145" t="s">
        <v>150</v>
      </c>
      <c r="B72" s="387">
        <v>0</v>
      </c>
      <c r="C72" s="387">
        <v>0</v>
      </c>
      <c r="D72" s="394">
        <v>44531</v>
      </c>
    </row>
    <row r="73" spans="1:4" x14ac:dyDescent="0.25">
      <c r="A73" s="145" t="s">
        <v>151</v>
      </c>
      <c r="B73" s="387">
        <v>0</v>
      </c>
      <c r="C73" s="387">
        <v>0</v>
      </c>
      <c r="D73" s="394">
        <v>44531</v>
      </c>
    </row>
    <row r="74" spans="1:4" x14ac:dyDescent="0.25">
      <c r="A74" s="145"/>
      <c r="B74" s="272"/>
      <c r="C74" s="272"/>
      <c r="D74" s="273"/>
    </row>
    <row r="75" spans="1:4" ht="13" x14ac:dyDescent="0.3">
      <c r="A75" s="133" t="s">
        <v>204</v>
      </c>
      <c r="B75" s="278"/>
      <c r="C75" s="278"/>
      <c r="D75" s="394"/>
    </row>
    <row r="76" spans="1:4" x14ac:dyDescent="0.25">
      <c r="A76" s="145" t="s">
        <v>143</v>
      </c>
      <c r="B76" s="400">
        <v>0</v>
      </c>
      <c r="C76" s="387"/>
      <c r="D76" s="394">
        <v>44531</v>
      </c>
    </row>
    <row r="77" spans="1:4" x14ac:dyDescent="0.25">
      <c r="A77" s="145" t="s">
        <v>144</v>
      </c>
      <c r="B77" s="400">
        <v>0</v>
      </c>
      <c r="C77" s="387"/>
      <c r="D77" s="394">
        <v>44531</v>
      </c>
    </row>
    <row r="78" spans="1:4" x14ac:dyDescent="0.25">
      <c r="A78" s="145"/>
      <c r="B78" s="272"/>
      <c r="C78" s="272"/>
      <c r="D78" s="273"/>
    </row>
    <row r="79" spans="1:4" ht="13" x14ac:dyDescent="0.3">
      <c r="A79" s="133" t="s">
        <v>205</v>
      </c>
      <c r="B79" s="278"/>
      <c r="C79" s="278"/>
      <c r="D79" s="394"/>
    </row>
    <row r="80" spans="1:4" x14ac:dyDescent="0.25">
      <c r="A80" s="145" t="s">
        <v>149</v>
      </c>
      <c r="B80" s="400">
        <v>0</v>
      </c>
      <c r="C80" s="387"/>
      <c r="D80" s="394">
        <v>44531</v>
      </c>
    </row>
    <row r="81" spans="1:6" x14ac:dyDescent="0.25">
      <c r="A81" s="145" t="s">
        <v>150</v>
      </c>
      <c r="B81" s="400">
        <v>0</v>
      </c>
      <c r="C81" s="387"/>
      <c r="D81" s="394">
        <v>44531</v>
      </c>
    </row>
    <row r="82" spans="1:6" x14ac:dyDescent="0.25">
      <c r="A82" s="145" t="s">
        <v>151</v>
      </c>
      <c r="B82" s="400">
        <v>0</v>
      </c>
      <c r="C82" s="272"/>
      <c r="D82" s="394">
        <v>44531</v>
      </c>
    </row>
    <row r="83" spans="1:6" x14ac:dyDescent="0.25">
      <c r="A83" s="145"/>
      <c r="B83" s="272"/>
      <c r="C83" s="272"/>
      <c r="D83" s="273"/>
    </row>
    <row r="84" spans="1:6" ht="13" x14ac:dyDescent="0.3">
      <c r="A84" s="384" t="s">
        <v>152</v>
      </c>
      <c r="B84" s="420">
        <v>2.9347000000000002E-2</v>
      </c>
      <c r="C84" s="416"/>
      <c r="D84" s="273">
        <v>45383</v>
      </c>
    </row>
    <row r="85" spans="1:6" x14ac:dyDescent="0.25">
      <c r="A85" s="145"/>
      <c r="D85" s="394"/>
    </row>
    <row r="86" spans="1:6" ht="13" x14ac:dyDescent="0.3">
      <c r="A86" s="25" t="s">
        <v>153</v>
      </c>
      <c r="B86" s="402">
        <v>6.6985699999999995E-2</v>
      </c>
      <c r="C86" s="402"/>
      <c r="D86" s="273">
        <v>45167</v>
      </c>
    </row>
    <row r="88" spans="1:6" ht="13" x14ac:dyDescent="0.3">
      <c r="A88" s="25" t="s">
        <v>215</v>
      </c>
      <c r="B88" s="278"/>
      <c r="C88" s="278"/>
      <c r="D88" s="273"/>
    </row>
    <row r="89" spans="1:6" x14ac:dyDescent="0.25">
      <c r="A89" s="227" t="s">
        <v>154</v>
      </c>
      <c r="B89" s="403">
        <v>1.95</v>
      </c>
      <c r="C89" s="403"/>
      <c r="D89" s="273">
        <v>45259</v>
      </c>
    </row>
    <row r="90" spans="1:6" x14ac:dyDescent="0.25">
      <c r="A90" s="227" t="s">
        <v>155</v>
      </c>
      <c r="B90" s="403">
        <v>15.91</v>
      </c>
      <c r="C90" s="403"/>
      <c r="D90" s="417">
        <v>45351</v>
      </c>
    </row>
    <row r="91" spans="1:6" x14ac:dyDescent="0.25">
      <c r="B91" s="278"/>
      <c r="C91" s="278"/>
      <c r="D91" s="278"/>
    </row>
    <row r="92" spans="1:6" ht="13" x14ac:dyDescent="0.3">
      <c r="A92" s="25" t="s">
        <v>250</v>
      </c>
      <c r="B92" s="402"/>
      <c r="C92" s="402"/>
      <c r="D92" s="273"/>
    </row>
    <row r="93" spans="1:6" x14ac:dyDescent="0.25">
      <c r="A93" s="145" t="s">
        <v>142</v>
      </c>
      <c r="B93" s="387">
        <v>0</v>
      </c>
      <c r="C93" s="387"/>
      <c r="D93" s="273">
        <v>44531</v>
      </c>
      <c r="E93" s="404"/>
      <c r="F93" s="394"/>
    </row>
    <row r="94" spans="1:6" x14ac:dyDescent="0.25">
      <c r="A94" s="145" t="s">
        <v>143</v>
      </c>
      <c r="B94" s="387">
        <v>0</v>
      </c>
      <c r="C94" s="387"/>
      <c r="D94" s="273">
        <v>44531</v>
      </c>
      <c r="E94" s="404"/>
      <c r="F94" s="394"/>
    </row>
    <row r="95" spans="1:6" x14ac:dyDescent="0.25">
      <c r="A95" s="145" t="s">
        <v>206</v>
      </c>
      <c r="B95" s="387">
        <v>0</v>
      </c>
      <c r="C95" s="387"/>
      <c r="D95" s="273">
        <v>44531</v>
      </c>
      <c r="E95" s="404"/>
      <c r="F95" s="394"/>
    </row>
    <row r="96" spans="1:6" x14ac:dyDescent="0.25">
      <c r="A96" s="145" t="s">
        <v>207</v>
      </c>
      <c r="B96" s="387">
        <v>0</v>
      </c>
      <c r="C96" s="387"/>
      <c r="D96" s="273">
        <v>44531</v>
      </c>
      <c r="E96" s="404"/>
      <c r="F96" s="394"/>
    </row>
    <row r="97" spans="1:6" x14ac:dyDescent="0.25">
      <c r="A97" s="145" t="s">
        <v>208</v>
      </c>
      <c r="B97" s="387">
        <v>0</v>
      </c>
      <c r="C97" s="387"/>
      <c r="D97" s="273">
        <v>44531</v>
      </c>
      <c r="E97" s="404"/>
      <c r="F97" s="394"/>
    </row>
    <row r="98" spans="1:6" x14ac:dyDescent="0.25">
      <c r="A98" s="145" t="s">
        <v>209</v>
      </c>
      <c r="B98" s="387">
        <v>0</v>
      </c>
      <c r="C98" s="387"/>
      <c r="D98" s="273">
        <v>44531</v>
      </c>
      <c r="E98" s="404"/>
      <c r="F98" s="394"/>
    </row>
    <row r="99" spans="1:6" x14ac:dyDescent="0.25">
      <c r="A99" s="145" t="s">
        <v>210</v>
      </c>
      <c r="B99" s="387">
        <v>0</v>
      </c>
      <c r="C99" s="387"/>
      <c r="D99" s="273">
        <v>44531</v>
      </c>
      <c r="E99" s="404"/>
      <c r="F99" s="394"/>
    </row>
    <row r="100" spans="1:6" x14ac:dyDescent="0.25">
      <c r="A100" s="145" t="s">
        <v>211</v>
      </c>
      <c r="B100" s="387">
        <v>0</v>
      </c>
      <c r="C100" s="387"/>
      <c r="D100" s="273">
        <v>44531</v>
      </c>
      <c r="E100" s="404"/>
      <c r="F100" s="394"/>
    </row>
    <row r="101" spans="1:6" x14ac:dyDescent="0.25">
      <c r="A101" s="145" t="s">
        <v>212</v>
      </c>
      <c r="B101" s="387">
        <v>0</v>
      </c>
      <c r="C101" s="387"/>
      <c r="D101" s="273">
        <v>44531</v>
      </c>
      <c r="E101" s="404"/>
      <c r="F101" s="394"/>
    </row>
    <row r="102" spans="1:6" x14ac:dyDescent="0.25">
      <c r="A102" s="145" t="s">
        <v>213</v>
      </c>
      <c r="B102" s="387">
        <v>0</v>
      </c>
      <c r="C102" s="387"/>
      <c r="D102" s="273">
        <v>44531</v>
      </c>
      <c r="E102" s="404"/>
      <c r="F102" s="394"/>
    </row>
    <row r="103" spans="1:6" x14ac:dyDescent="0.25">
      <c r="B103" s="278"/>
      <c r="C103" s="278"/>
      <c r="D103" s="278"/>
    </row>
    <row r="104" spans="1:6" ht="13" x14ac:dyDescent="0.3">
      <c r="A104" s="25" t="s">
        <v>156</v>
      </c>
      <c r="B104" s="418">
        <v>0.21398439999999999</v>
      </c>
      <c r="C104" s="402"/>
      <c r="D104" s="417">
        <v>45351</v>
      </c>
    </row>
    <row r="105" spans="1:6" x14ac:dyDescent="0.25">
      <c r="B105" s="278"/>
      <c r="C105" s="278"/>
      <c r="D105" s="278"/>
    </row>
    <row r="106" spans="1:6" ht="13" x14ac:dyDescent="0.3">
      <c r="A106" s="25" t="s">
        <v>219</v>
      </c>
      <c r="B106" s="278"/>
      <c r="C106" s="278"/>
      <c r="D106" s="273"/>
    </row>
    <row r="107" spans="1:6" x14ac:dyDescent="0.25">
      <c r="A107" s="227" t="s">
        <v>154</v>
      </c>
      <c r="B107" s="403">
        <v>0</v>
      </c>
      <c r="C107" s="403"/>
      <c r="D107" s="273">
        <v>44894</v>
      </c>
    </row>
    <row r="108" spans="1:6" x14ac:dyDescent="0.25">
      <c r="A108" s="227" t="s">
        <v>155</v>
      </c>
      <c r="B108" s="403">
        <v>0</v>
      </c>
      <c r="C108" s="403"/>
      <c r="D108" s="273">
        <v>44894</v>
      </c>
    </row>
    <row r="110" spans="1:6" ht="13" x14ac:dyDescent="0.3">
      <c r="A110" s="133" t="s">
        <v>214</v>
      </c>
      <c r="D110" s="273"/>
    </row>
    <row r="111" spans="1:6" x14ac:dyDescent="0.25">
      <c r="A111" s="145" t="s">
        <v>145</v>
      </c>
      <c r="B111" s="253">
        <v>3.8972999999999998E-3</v>
      </c>
      <c r="C111" s="272"/>
      <c r="D111" s="394">
        <v>44531</v>
      </c>
    </row>
    <row r="112" spans="1:6" x14ac:dyDescent="0.25">
      <c r="A112" s="145" t="s">
        <v>146</v>
      </c>
      <c r="B112" s="253">
        <v>3.7618E-3</v>
      </c>
      <c r="C112" s="272"/>
      <c r="D112" s="394">
        <v>44531</v>
      </c>
    </row>
    <row r="113" spans="1:5" x14ac:dyDescent="0.25">
      <c r="A113" s="145" t="s">
        <v>147</v>
      </c>
      <c r="B113" s="253">
        <v>3.6865999999999999E-3</v>
      </c>
      <c r="C113" s="272"/>
      <c r="D113" s="394">
        <v>44531</v>
      </c>
    </row>
    <row r="115" spans="1:5" ht="13" x14ac:dyDescent="0.3">
      <c r="A115" s="133" t="s">
        <v>218</v>
      </c>
    </row>
    <row r="116" spans="1:5" x14ac:dyDescent="0.25">
      <c r="A116" s="145" t="s">
        <v>154</v>
      </c>
      <c r="B116" s="405">
        <v>-2.3000000000000001E-4</v>
      </c>
      <c r="D116" s="394">
        <v>44531</v>
      </c>
    </row>
    <row r="117" spans="1:5" x14ac:dyDescent="0.25">
      <c r="A117" s="145" t="s">
        <v>155</v>
      </c>
      <c r="B117" s="405">
        <v>-6.2E-4</v>
      </c>
      <c r="D117" s="394">
        <v>44531</v>
      </c>
    </row>
    <row r="119" spans="1:5" ht="13" x14ac:dyDescent="0.3">
      <c r="A119" s="25" t="s">
        <v>227</v>
      </c>
      <c r="B119" s="278"/>
      <c r="C119" s="278"/>
      <c r="D119" s="273"/>
    </row>
    <row r="120" spans="1:5" x14ac:dyDescent="0.25">
      <c r="A120" s="227" t="s">
        <v>154</v>
      </c>
      <c r="B120" s="411">
        <v>1.26</v>
      </c>
      <c r="C120" s="403"/>
      <c r="D120" s="394">
        <v>45226</v>
      </c>
    </row>
    <row r="121" spans="1:5" x14ac:dyDescent="0.25">
      <c r="A121" s="227" t="s">
        <v>155</v>
      </c>
      <c r="B121" s="411">
        <v>5.83</v>
      </c>
      <c r="C121" s="403"/>
      <c r="D121" s="394">
        <v>45226</v>
      </c>
    </row>
    <row r="123" spans="1:5" ht="13" x14ac:dyDescent="0.3">
      <c r="A123" s="133" t="s">
        <v>240</v>
      </c>
      <c r="B123" s="406"/>
      <c r="E123" s="273"/>
    </row>
    <row r="124" spans="1:5" x14ac:dyDescent="0.25">
      <c r="A124" s="227" t="s">
        <v>154</v>
      </c>
      <c r="B124" s="18">
        <v>0.1</v>
      </c>
      <c r="C124" s="394"/>
      <c r="E124" s="394">
        <v>44927</v>
      </c>
    </row>
    <row r="125" spans="1:5" x14ac:dyDescent="0.25">
      <c r="A125" s="145" t="s">
        <v>134</v>
      </c>
      <c r="B125" s="18">
        <v>2.9050000000000001E-4</v>
      </c>
      <c r="C125" s="407">
        <v>242</v>
      </c>
      <c r="D125" s="18" t="s">
        <v>241</v>
      </c>
      <c r="E125" s="394">
        <v>45292</v>
      </c>
    </row>
    <row r="126" spans="1:5" x14ac:dyDescent="0.25">
      <c r="A126" s="145" t="s">
        <v>135</v>
      </c>
      <c r="B126" s="18">
        <v>0</v>
      </c>
      <c r="E126" s="394">
        <v>44927</v>
      </c>
    </row>
    <row r="128" spans="1:5" ht="13" x14ac:dyDescent="0.3">
      <c r="A128" s="133" t="s">
        <v>252</v>
      </c>
    </row>
    <row r="129" spans="1:4" x14ac:dyDescent="0.25">
      <c r="A129" s="227" t="s">
        <v>154</v>
      </c>
      <c r="B129" s="407">
        <v>0</v>
      </c>
      <c r="D129" s="394">
        <v>44531</v>
      </c>
    </row>
    <row r="130" spans="1:4" x14ac:dyDescent="0.25">
      <c r="A130" s="227" t="s">
        <v>188</v>
      </c>
      <c r="B130" s="407">
        <v>0</v>
      </c>
      <c r="D130" s="394">
        <v>44531</v>
      </c>
    </row>
    <row r="131" spans="1:4" x14ac:dyDescent="0.25">
      <c r="A131" s="227" t="s">
        <v>189</v>
      </c>
      <c r="B131" s="407">
        <v>0</v>
      </c>
      <c r="D131" s="394">
        <v>44531</v>
      </c>
    </row>
    <row r="132" spans="1:4" x14ac:dyDescent="0.25">
      <c r="A132" s="227" t="s">
        <v>190</v>
      </c>
      <c r="B132" s="407">
        <v>0</v>
      </c>
      <c r="D132" s="394">
        <v>44531</v>
      </c>
    </row>
    <row r="133" spans="1:4" x14ac:dyDescent="0.25">
      <c r="A133" s="227" t="s">
        <v>191</v>
      </c>
      <c r="B133" s="407">
        <v>0</v>
      </c>
      <c r="D133" s="394">
        <v>44531</v>
      </c>
    </row>
    <row r="135" spans="1:4" ht="13" x14ac:dyDescent="0.3">
      <c r="A135" s="25" t="s">
        <v>251</v>
      </c>
      <c r="B135" s="278"/>
      <c r="C135" s="278"/>
      <c r="D135" s="273"/>
    </row>
    <row r="136" spans="1:4" x14ac:dyDescent="0.25">
      <c r="A136" s="227" t="s">
        <v>154</v>
      </c>
      <c r="B136" s="403">
        <v>0</v>
      </c>
      <c r="C136" s="403"/>
      <c r="D136" s="394">
        <v>44531</v>
      </c>
    </row>
    <row r="137" spans="1:4" x14ac:dyDescent="0.25">
      <c r="A137" s="227" t="s">
        <v>155</v>
      </c>
      <c r="B137" s="403">
        <v>0</v>
      </c>
      <c r="C137" s="403"/>
      <c r="D137" s="394">
        <v>44531</v>
      </c>
    </row>
    <row r="139" spans="1:4" ht="13" x14ac:dyDescent="0.3">
      <c r="A139" s="25" t="s">
        <v>253</v>
      </c>
      <c r="D139" s="18" t="s">
        <v>254</v>
      </c>
    </row>
  </sheetData>
  <sheetProtection algorithmName="SHA-512" hashValue="JvnGCo2kZt2ovBpnwUzJi2m0guQrUeMwnBn/s24lEV5CJf2BQPDJ7fieqKQmTTM1qCFAUKlLqUYo9qw/RoUyGw==" saltValue="LqRLVRZfM1yn8G1+0QE4ew==" spinCount="100000" sheet="1" objects="1" scenarios="1"/>
  <mergeCells count="2">
    <mergeCell ref="B14:D14"/>
    <mergeCell ref="H14:J14"/>
  </mergeCells>
  <phoneticPr fontId="28" type="noConversion"/>
  <hyperlinks>
    <hyperlink ref="A40" r:id="rId1" display="GS-@ TOD (On-Peak)" xr:uid="{00000000-0004-0000-1500-000000000000}"/>
    <hyperlink ref="A41" r:id="rId2" display="GS-@ TOD (On-Peak)" xr:uid="{00000000-0004-0000-1500-000001000000}"/>
  </hyperlinks>
  <printOptions gridLines="1"/>
  <pageMargins left="0" right="0" top="0.5" bottom="0.5" header="0.25" footer="0.25"/>
  <pageSetup scale="70" fitToHeight="4" orientation="portrait" r:id="rId3"/>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pageSetUpPr fitToPage="1"/>
  </sheetPr>
  <dimension ref="A1:G33"/>
  <sheetViews>
    <sheetView showGridLines="0" workbookViewId="0">
      <selection activeCell="I27" sqref="I27"/>
    </sheetView>
  </sheetViews>
  <sheetFormatPr defaultRowHeight="12.5" x14ac:dyDescent="0.25"/>
  <cols>
    <col min="1" max="1" width="42.453125" customWidth="1"/>
    <col min="2" max="2" width="19.1796875" customWidth="1"/>
    <col min="3" max="3" width="13.54296875" customWidth="1"/>
    <col min="4" max="4" width="12.7265625" customWidth="1"/>
    <col min="5" max="5" width="12.54296875" customWidth="1"/>
    <col min="6" max="6" width="1.81640625" customWidth="1"/>
    <col min="7" max="7" width="11.26953125" customWidth="1"/>
  </cols>
  <sheetData>
    <row r="1" spans="1:7" x14ac:dyDescent="0.25">
      <c r="D1" s="4"/>
    </row>
    <row r="2" spans="1:7" ht="13.5" thickBot="1" x14ac:dyDescent="0.35">
      <c r="A2" s="476" t="s">
        <v>36</v>
      </c>
      <c r="B2" s="476"/>
      <c r="C2" s="476"/>
      <c r="D2" s="476"/>
      <c r="E2" s="476"/>
    </row>
    <row r="3" spans="1:7" ht="13" thickBot="1" x14ac:dyDescent="0.3">
      <c r="A3" s="15" t="s">
        <v>23</v>
      </c>
      <c r="B3" s="16" t="s">
        <v>7</v>
      </c>
      <c r="C3" s="16" t="s">
        <v>1</v>
      </c>
      <c r="D3" s="16" t="s">
        <v>6</v>
      </c>
      <c r="E3" s="17" t="s">
        <v>58</v>
      </c>
    </row>
    <row r="4" spans="1:7" x14ac:dyDescent="0.25">
      <c r="A4" s="9" t="s">
        <v>5</v>
      </c>
      <c r="B4" s="5">
        <v>2001</v>
      </c>
      <c r="C4" s="7">
        <v>-4.8782899999999997E-2</v>
      </c>
      <c r="D4" s="8" t="s">
        <v>57</v>
      </c>
      <c r="E4" s="73" t="b">
        <v>1</v>
      </c>
      <c r="G4" s="48" t="s">
        <v>38</v>
      </c>
    </row>
    <row r="5" spans="1:7" x14ac:dyDescent="0.25">
      <c r="A5" s="66" t="s">
        <v>60</v>
      </c>
      <c r="B5" s="471">
        <v>2001</v>
      </c>
      <c r="C5" s="68">
        <v>7.7130000000000005E-4</v>
      </c>
      <c r="D5" s="67" t="s">
        <v>59</v>
      </c>
      <c r="E5" s="477" t="b">
        <v>1</v>
      </c>
      <c r="G5" s="56"/>
    </row>
    <row r="6" spans="1:7" x14ac:dyDescent="0.25">
      <c r="A6" s="66" t="s">
        <v>61</v>
      </c>
      <c r="B6" s="473"/>
      <c r="C6" s="68">
        <v>1.83E-4</v>
      </c>
      <c r="D6" s="67" t="s">
        <v>59</v>
      </c>
      <c r="E6" s="479"/>
      <c r="G6" s="56"/>
    </row>
    <row r="7" spans="1:7" x14ac:dyDescent="0.25">
      <c r="A7" s="10" t="s">
        <v>4</v>
      </c>
      <c r="B7" s="5">
        <v>2001</v>
      </c>
      <c r="C7" s="47">
        <v>1.0758E-4</v>
      </c>
      <c r="D7" s="5" t="s">
        <v>59</v>
      </c>
      <c r="E7" s="61" t="b">
        <v>1</v>
      </c>
      <c r="G7" s="56"/>
    </row>
    <row r="8" spans="1:7" ht="12.75" customHeight="1" x14ac:dyDescent="0.25">
      <c r="A8" s="69" t="s">
        <v>47</v>
      </c>
      <c r="B8" s="471">
        <v>2001</v>
      </c>
      <c r="C8" s="70">
        <v>4.6499999999999996E-3</v>
      </c>
      <c r="D8" s="471" t="s">
        <v>59</v>
      </c>
      <c r="E8" s="477" t="b">
        <v>1</v>
      </c>
      <c r="G8" s="470" t="s">
        <v>38</v>
      </c>
    </row>
    <row r="9" spans="1:7" x14ac:dyDescent="0.25">
      <c r="A9" s="69" t="s">
        <v>48</v>
      </c>
      <c r="B9" s="472"/>
      <c r="C9" s="70">
        <v>4.1900000000000001E-3</v>
      </c>
      <c r="D9" s="472"/>
      <c r="E9" s="478" t="b">
        <v>0</v>
      </c>
      <c r="G9" s="470"/>
    </row>
    <row r="10" spans="1:7" x14ac:dyDescent="0.25">
      <c r="A10" s="69" t="s">
        <v>49</v>
      </c>
      <c r="B10" s="473"/>
      <c r="C10" s="70">
        <v>3.63E-3</v>
      </c>
      <c r="D10" s="473"/>
      <c r="E10" s="479"/>
      <c r="G10" s="470"/>
    </row>
    <row r="11" spans="1:7" x14ac:dyDescent="0.25">
      <c r="A11" s="10" t="s">
        <v>13</v>
      </c>
      <c r="B11" s="5">
        <v>2002</v>
      </c>
      <c r="C11" s="6">
        <v>4.3600000000000003E-5</v>
      </c>
      <c r="D11" s="5" t="s">
        <v>59</v>
      </c>
      <c r="E11" s="61" t="b">
        <v>1</v>
      </c>
    </row>
    <row r="12" spans="1:7" x14ac:dyDescent="0.25">
      <c r="A12" s="69" t="s">
        <v>14</v>
      </c>
      <c r="B12" s="71">
        <v>2002</v>
      </c>
      <c r="C12" s="70">
        <v>1.2520000000000001E-4</v>
      </c>
      <c r="D12" s="71" t="s">
        <v>59</v>
      </c>
      <c r="E12" s="72" t="b">
        <v>1</v>
      </c>
    </row>
    <row r="13" spans="1:7" x14ac:dyDescent="0.25">
      <c r="A13" s="10" t="s">
        <v>16</v>
      </c>
      <c r="B13" s="5">
        <v>2002</v>
      </c>
      <c r="C13" s="6">
        <v>3.369E-4</v>
      </c>
      <c r="D13" s="5" t="s">
        <v>59</v>
      </c>
      <c r="E13" s="61" t="b">
        <v>1</v>
      </c>
    </row>
    <row r="14" spans="1:7" x14ac:dyDescent="0.25">
      <c r="A14" s="69" t="s">
        <v>17</v>
      </c>
      <c r="B14" s="71">
        <v>2002</v>
      </c>
      <c r="C14" s="70">
        <v>9.6730000000000004E-4</v>
      </c>
      <c r="D14" s="71" t="s">
        <v>59</v>
      </c>
      <c r="E14" s="72" t="b">
        <v>1</v>
      </c>
    </row>
    <row r="15" spans="1:7" x14ac:dyDescent="0.25">
      <c r="A15" s="10" t="s">
        <v>62</v>
      </c>
      <c r="B15" s="5">
        <v>2001</v>
      </c>
      <c r="C15" s="6">
        <v>6.3080000000000005E-4</v>
      </c>
      <c r="D15" s="5" t="s">
        <v>59</v>
      </c>
      <c r="E15" s="61" t="b">
        <v>1</v>
      </c>
    </row>
    <row r="16" spans="1:7" x14ac:dyDescent="0.25">
      <c r="A16" s="69" t="s">
        <v>9</v>
      </c>
      <c r="B16" s="71">
        <v>2001</v>
      </c>
      <c r="C16" s="70">
        <v>5.5290000000000005E-4</v>
      </c>
      <c r="D16" s="71" t="s">
        <v>59</v>
      </c>
      <c r="E16" s="72" t="b">
        <v>1</v>
      </c>
    </row>
    <row r="17" spans="1:5" x14ac:dyDescent="0.25">
      <c r="A17" s="10" t="s">
        <v>10</v>
      </c>
      <c r="B17" s="5">
        <v>2001</v>
      </c>
      <c r="C17" s="6">
        <v>5.6780000000000003E-4</v>
      </c>
      <c r="D17" s="5" t="s">
        <v>59</v>
      </c>
      <c r="E17" s="61" t="b">
        <v>1</v>
      </c>
    </row>
    <row r="18" spans="1:5" x14ac:dyDescent="0.25">
      <c r="A18" s="69" t="s">
        <v>11</v>
      </c>
      <c r="B18" s="71">
        <v>2001</v>
      </c>
      <c r="C18" s="70">
        <v>4.5619999999999998E-4</v>
      </c>
      <c r="D18" s="71" t="s">
        <v>59</v>
      </c>
      <c r="E18" s="72" t="b">
        <v>1</v>
      </c>
    </row>
    <row r="19" spans="1:5" x14ac:dyDescent="0.25">
      <c r="A19" s="10" t="s">
        <v>12</v>
      </c>
      <c r="B19" s="5">
        <v>2001</v>
      </c>
      <c r="C19" s="6">
        <v>3.9589999999999997E-4</v>
      </c>
      <c r="D19" s="5" t="s">
        <v>59</v>
      </c>
      <c r="E19" s="61" t="b">
        <v>1</v>
      </c>
    </row>
    <row r="20" spans="1:5" x14ac:dyDescent="0.25">
      <c r="A20" s="69" t="s">
        <v>18</v>
      </c>
      <c r="B20" s="71">
        <v>2001</v>
      </c>
      <c r="C20" s="70">
        <v>-1.5192999999999999E-3</v>
      </c>
      <c r="D20" s="71" t="s">
        <v>59</v>
      </c>
      <c r="E20" s="72" t="b">
        <v>1</v>
      </c>
    </row>
    <row r="21" spans="1:5" x14ac:dyDescent="0.25">
      <c r="A21" s="10" t="s">
        <v>19</v>
      </c>
      <c r="B21" s="5">
        <v>2001</v>
      </c>
      <c r="C21" s="6">
        <v>-1.3071000000000001E-3</v>
      </c>
      <c r="D21" s="5" t="s">
        <v>59</v>
      </c>
      <c r="E21" s="61" t="b">
        <v>1</v>
      </c>
    </row>
    <row r="22" spans="1:5" x14ac:dyDescent="0.25">
      <c r="A22" s="69" t="s">
        <v>20</v>
      </c>
      <c r="B22" s="71">
        <v>2001</v>
      </c>
      <c r="C22" s="70">
        <v>-1.3320000000000001E-3</v>
      </c>
      <c r="D22" s="71" t="s">
        <v>59</v>
      </c>
      <c r="E22" s="72" t="b">
        <v>1</v>
      </c>
    </row>
    <row r="23" spans="1:5" x14ac:dyDescent="0.25">
      <c r="A23" s="10" t="s">
        <v>21</v>
      </c>
      <c r="B23" s="5">
        <v>2001</v>
      </c>
      <c r="C23" s="6">
        <v>-1.0334999999999999E-3</v>
      </c>
      <c r="D23" s="5" t="s">
        <v>59</v>
      </c>
      <c r="E23" s="61" t="b">
        <v>1</v>
      </c>
    </row>
    <row r="24" spans="1:5" x14ac:dyDescent="0.25">
      <c r="A24" s="69" t="s">
        <v>22</v>
      </c>
      <c r="B24" s="71">
        <v>2001</v>
      </c>
      <c r="C24" s="70">
        <v>-8.7730000000000002E-4</v>
      </c>
      <c r="D24" s="71" t="s">
        <v>59</v>
      </c>
      <c r="E24" s="72" t="b">
        <v>1</v>
      </c>
    </row>
    <row r="25" spans="1:5" x14ac:dyDescent="0.25">
      <c r="A25" s="10" t="s">
        <v>40</v>
      </c>
      <c r="B25" s="5">
        <v>2001</v>
      </c>
      <c r="C25" s="6">
        <v>-2.5000000000000001E-3</v>
      </c>
      <c r="D25" s="5" t="s">
        <v>59</v>
      </c>
      <c r="E25" s="61" t="b">
        <v>1</v>
      </c>
    </row>
    <row r="26" spans="1:5" x14ac:dyDescent="0.25">
      <c r="A26" s="48" t="s">
        <v>39</v>
      </c>
      <c r="C26" s="19"/>
      <c r="D26" s="20"/>
      <c r="E26" s="21"/>
    </row>
    <row r="27" spans="1:5" ht="101.25" customHeight="1" x14ac:dyDescent="0.25">
      <c r="A27" s="475"/>
      <c r="B27" s="475"/>
      <c r="C27" s="475"/>
      <c r="D27" s="475"/>
      <c r="E27" s="475"/>
    </row>
    <row r="28" spans="1:5" ht="78" customHeight="1" x14ac:dyDescent="0.25">
      <c r="A28" s="475"/>
      <c r="B28" s="475"/>
      <c r="C28" s="475"/>
      <c r="D28" s="475"/>
      <c r="E28" s="475"/>
    </row>
    <row r="29" spans="1:5" ht="46.5" customHeight="1" x14ac:dyDescent="0.25">
      <c r="A29" s="475"/>
      <c r="B29" s="475"/>
      <c r="C29" s="475"/>
      <c r="D29" s="475"/>
      <c r="E29" s="475"/>
    </row>
    <row r="30" spans="1:5" ht="32.25" customHeight="1" x14ac:dyDescent="0.25">
      <c r="A30" s="474"/>
      <c r="B30" s="474"/>
      <c r="C30" s="474"/>
      <c r="D30" s="474"/>
      <c r="E30" s="474"/>
    </row>
    <row r="31" spans="1:5" ht="79.5" customHeight="1" x14ac:dyDescent="0.25">
      <c r="A31" s="475"/>
      <c r="B31" s="475"/>
      <c r="C31" s="475"/>
      <c r="D31" s="475"/>
      <c r="E31" s="475"/>
    </row>
    <row r="32" spans="1:5" ht="39" customHeight="1" x14ac:dyDescent="0.25">
      <c r="A32" s="474"/>
      <c r="B32" s="475"/>
      <c r="C32" s="475"/>
      <c r="D32" s="475"/>
      <c r="E32" s="475"/>
    </row>
    <row r="33" spans="1:5" ht="38.25" customHeight="1" x14ac:dyDescent="0.25">
      <c r="A33" s="474"/>
      <c r="B33" s="475"/>
      <c r="C33" s="475"/>
      <c r="D33" s="475"/>
      <c r="E33" s="475"/>
    </row>
  </sheetData>
  <sheetProtection sheet="1" objects="1" scenarios="1"/>
  <mergeCells count="14">
    <mergeCell ref="G8:G10"/>
    <mergeCell ref="D8:D10"/>
    <mergeCell ref="B8:B10"/>
    <mergeCell ref="A33:E33"/>
    <mergeCell ref="A2:E2"/>
    <mergeCell ref="A27:E27"/>
    <mergeCell ref="A28:E28"/>
    <mergeCell ref="A32:E32"/>
    <mergeCell ref="A30:E30"/>
    <mergeCell ref="A31:E31"/>
    <mergeCell ref="A29:E29"/>
    <mergeCell ref="E8:E10"/>
    <mergeCell ref="B5:B6"/>
    <mergeCell ref="E5:E6"/>
  </mergeCells>
  <phoneticPr fontId="0" type="noConversion"/>
  <printOptions horizontalCentered="1"/>
  <pageMargins left="0.75" right="0.5" top="1" bottom="1" header="0.5" footer="0.5"/>
  <pageSetup scale="8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203200</xdr:colOff>
                    <xdr:row>2</xdr:row>
                    <xdr:rowOff>95250</xdr:rowOff>
                  </from>
                  <to>
                    <xdr:col>6</xdr:col>
                    <xdr:colOff>88900</xdr:colOff>
                    <xdr:row>4</xdr:row>
                    <xdr:rowOff>12700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203200</xdr:colOff>
                    <xdr:row>4</xdr:row>
                    <xdr:rowOff>31750</xdr:rowOff>
                  </from>
                  <to>
                    <xdr:col>6</xdr:col>
                    <xdr:colOff>88900</xdr:colOff>
                    <xdr:row>5</xdr:row>
                    <xdr:rowOff>69850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203200</xdr:colOff>
                    <xdr:row>5</xdr:row>
                    <xdr:rowOff>88900</xdr:rowOff>
                  </from>
                  <to>
                    <xdr:col>6</xdr:col>
                    <xdr:colOff>88900</xdr:colOff>
                    <xdr:row>7</xdr:row>
                    <xdr:rowOff>12700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203200</xdr:colOff>
                    <xdr:row>7</xdr:row>
                    <xdr:rowOff>76200</xdr:rowOff>
                  </from>
                  <to>
                    <xdr:col>5</xdr:col>
                    <xdr:colOff>0</xdr:colOff>
                    <xdr:row>9</xdr:row>
                    <xdr:rowOff>12700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203200</xdr:colOff>
                    <xdr:row>9</xdr:row>
                    <xdr:rowOff>88900</xdr:rowOff>
                  </from>
                  <to>
                    <xdr:col>6</xdr:col>
                    <xdr:colOff>88900</xdr:colOff>
                    <xdr:row>11</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203200</xdr:colOff>
                    <xdr:row>10</xdr:row>
                    <xdr:rowOff>88900</xdr:rowOff>
                  </from>
                  <to>
                    <xdr:col>5</xdr:col>
                    <xdr:colOff>0</xdr:colOff>
                    <xdr:row>12</xdr:row>
                    <xdr:rowOff>19050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4</xdr:col>
                    <xdr:colOff>203200</xdr:colOff>
                    <xdr:row>11</xdr:row>
                    <xdr:rowOff>88900</xdr:rowOff>
                  </from>
                  <to>
                    <xdr:col>5</xdr:col>
                    <xdr:colOff>0</xdr:colOff>
                    <xdr:row>13</xdr:row>
                    <xdr:rowOff>19050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4</xdr:col>
                    <xdr:colOff>203200</xdr:colOff>
                    <xdr:row>12</xdr:row>
                    <xdr:rowOff>88900</xdr:rowOff>
                  </from>
                  <to>
                    <xdr:col>5</xdr:col>
                    <xdr:colOff>0</xdr:colOff>
                    <xdr:row>14</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4</xdr:col>
                    <xdr:colOff>203200</xdr:colOff>
                    <xdr:row>13</xdr:row>
                    <xdr:rowOff>88900</xdr:rowOff>
                  </from>
                  <to>
                    <xdr:col>5</xdr:col>
                    <xdr:colOff>0</xdr:colOff>
                    <xdr:row>15</xdr:row>
                    <xdr:rowOff>19050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4</xdr:col>
                    <xdr:colOff>203200</xdr:colOff>
                    <xdr:row>14</xdr:row>
                    <xdr:rowOff>95250</xdr:rowOff>
                  </from>
                  <to>
                    <xdr:col>5</xdr:col>
                    <xdr:colOff>0</xdr:colOff>
                    <xdr:row>16</xdr:row>
                    <xdr:rowOff>31750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4</xdr:col>
                    <xdr:colOff>203200</xdr:colOff>
                    <xdr:row>15</xdr:row>
                    <xdr:rowOff>88900</xdr:rowOff>
                  </from>
                  <to>
                    <xdr:col>5</xdr:col>
                    <xdr:colOff>0</xdr:colOff>
                    <xdr:row>17</xdr:row>
                    <xdr:rowOff>19050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4</xdr:col>
                    <xdr:colOff>203200</xdr:colOff>
                    <xdr:row>16</xdr:row>
                    <xdr:rowOff>88900</xdr:rowOff>
                  </from>
                  <to>
                    <xdr:col>5</xdr:col>
                    <xdr:colOff>0</xdr:colOff>
                    <xdr:row>18</xdr:row>
                    <xdr:rowOff>12700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4</xdr:col>
                    <xdr:colOff>203200</xdr:colOff>
                    <xdr:row>17</xdr:row>
                    <xdr:rowOff>88900</xdr:rowOff>
                  </from>
                  <to>
                    <xdr:col>5</xdr:col>
                    <xdr:colOff>0</xdr:colOff>
                    <xdr:row>19</xdr:row>
                    <xdr:rowOff>19050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4</xdr:col>
                    <xdr:colOff>203200</xdr:colOff>
                    <xdr:row>18</xdr:row>
                    <xdr:rowOff>88900</xdr:rowOff>
                  </from>
                  <to>
                    <xdr:col>5</xdr:col>
                    <xdr:colOff>0</xdr:colOff>
                    <xdr:row>20</xdr:row>
                    <xdr:rowOff>19050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4</xdr:col>
                    <xdr:colOff>203200</xdr:colOff>
                    <xdr:row>19</xdr:row>
                    <xdr:rowOff>88900</xdr:rowOff>
                  </from>
                  <to>
                    <xdr:col>5</xdr:col>
                    <xdr:colOff>0</xdr:colOff>
                    <xdr:row>21</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4</xdr:col>
                    <xdr:colOff>203200</xdr:colOff>
                    <xdr:row>20</xdr:row>
                    <xdr:rowOff>88900</xdr:rowOff>
                  </from>
                  <to>
                    <xdr:col>5</xdr:col>
                    <xdr:colOff>0</xdr:colOff>
                    <xdr:row>22</xdr:row>
                    <xdr:rowOff>19050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4</xdr:col>
                    <xdr:colOff>203200</xdr:colOff>
                    <xdr:row>21</xdr:row>
                    <xdr:rowOff>88900</xdr:rowOff>
                  </from>
                  <to>
                    <xdr:col>5</xdr:col>
                    <xdr:colOff>0</xdr:colOff>
                    <xdr:row>23</xdr:row>
                    <xdr:rowOff>19050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203200</xdr:colOff>
                    <xdr:row>22</xdr:row>
                    <xdr:rowOff>88900</xdr:rowOff>
                  </from>
                  <to>
                    <xdr:col>5</xdr:col>
                    <xdr:colOff>0</xdr:colOff>
                    <xdr:row>24</xdr:row>
                    <xdr:rowOff>19050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4</xdr:col>
                    <xdr:colOff>203200</xdr:colOff>
                    <xdr:row>23</xdr:row>
                    <xdr:rowOff>88900</xdr:rowOff>
                  </from>
                  <to>
                    <xdr:col>5</xdr:col>
                    <xdr:colOff>0</xdr:colOff>
                    <xdr:row>25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IB92"/>
  <sheetViews>
    <sheetView showGridLines="0" topLeftCell="A27" zoomScale="80" zoomScaleNormal="80" workbookViewId="0">
      <selection activeCell="O64" sqref="O64"/>
    </sheetView>
  </sheetViews>
  <sheetFormatPr defaultRowHeight="12.5" x14ac:dyDescent="0.25"/>
  <cols>
    <col min="1" max="1" width="39" customWidth="1"/>
    <col min="2" max="2" width="2.54296875" customWidth="1"/>
    <col min="3" max="3" width="13.54296875" customWidth="1"/>
    <col min="4" max="4" width="15.26953125" customWidth="1"/>
    <col min="5" max="5" width="9.7265625" customWidth="1"/>
    <col min="6" max="6" width="2.7265625" customWidth="1"/>
    <col min="7" max="8" width="13.26953125" customWidth="1"/>
    <col min="9" max="9" width="14.54296875" customWidth="1"/>
    <col min="10" max="10" width="13.26953125" customWidth="1"/>
    <col min="11" max="11" width="6.54296875" customWidth="1"/>
    <col min="12" max="12" width="15.1796875" customWidth="1"/>
    <col min="13" max="13" width="17.26953125" bestFit="1" customWidth="1"/>
    <col min="14" max="14" width="17.453125" customWidth="1"/>
    <col min="15" max="15" width="17.26953125" bestFit="1" customWidth="1"/>
    <col min="16" max="16" width="13" customWidth="1"/>
    <col min="17" max="17" width="12.81640625" bestFit="1" customWidth="1"/>
    <col min="18" max="18" width="10.54296875" hidden="1" customWidth="1"/>
    <col min="19" max="19" width="10.26953125" hidden="1" customWidth="1"/>
    <col min="20" max="23" width="10.81640625" hidden="1" customWidth="1"/>
    <col min="24" max="26" width="10.26953125" hidden="1" customWidth="1"/>
    <col min="27" max="27" width="10.54296875" hidden="1" customWidth="1"/>
    <col min="28" max="28" width="10.81640625" hidden="1" customWidth="1"/>
    <col min="29" max="30" width="10" hidden="1" customWidth="1"/>
    <col min="31" max="31" width="9.1796875" customWidth="1"/>
    <col min="32" max="32" width="10.26953125" customWidth="1"/>
    <col min="33" max="33" width="10.81640625" customWidth="1"/>
    <col min="34" max="34" width="10.26953125" customWidth="1"/>
  </cols>
  <sheetData>
    <row r="1" spans="1:59" ht="20" x14ac:dyDescent="0.4">
      <c r="A1" s="436" t="s">
        <v>119</v>
      </c>
      <c r="B1" s="436"/>
      <c r="C1" s="436"/>
      <c r="D1" s="436"/>
      <c r="E1" s="436"/>
      <c r="F1" s="436"/>
      <c r="G1" s="436"/>
      <c r="H1" s="436"/>
      <c r="I1" s="436"/>
      <c r="J1" s="436"/>
      <c r="K1" s="436"/>
      <c r="L1" s="436"/>
      <c r="M1" s="436"/>
      <c r="N1" s="436"/>
      <c r="O1" s="436"/>
      <c r="P1" s="436"/>
      <c r="Q1" s="197"/>
    </row>
    <row r="2" spans="1:59" ht="18" customHeight="1" x14ac:dyDescent="0.25">
      <c r="A2" s="445" t="s">
        <v>115</v>
      </c>
      <c r="B2" s="445"/>
      <c r="C2" s="445"/>
      <c r="D2" s="445"/>
      <c r="E2" s="445"/>
      <c r="F2" s="445"/>
      <c r="G2" s="445"/>
      <c r="H2" s="445"/>
      <c r="I2" s="445"/>
      <c r="J2" s="445"/>
      <c r="K2" s="445"/>
      <c r="L2" s="445"/>
      <c r="M2" s="445"/>
      <c r="N2" s="445"/>
      <c r="O2" s="445"/>
      <c r="P2" s="445"/>
    </row>
    <row r="3" spans="1:59" ht="18" x14ac:dyDescent="0.4">
      <c r="A3" s="445"/>
      <c r="B3" s="445"/>
      <c r="C3" s="445"/>
      <c r="D3" s="445"/>
      <c r="E3" s="445"/>
      <c r="F3" s="445"/>
      <c r="G3" s="445"/>
      <c r="H3" s="445"/>
      <c r="I3" s="445"/>
      <c r="J3" s="445"/>
      <c r="K3" s="445"/>
      <c r="L3" s="445"/>
      <c r="M3" s="445"/>
      <c r="N3" s="445"/>
      <c r="O3" s="445"/>
      <c r="P3" s="445"/>
      <c r="Q3" s="198"/>
    </row>
    <row r="4" spans="1:59" ht="15.5" x14ac:dyDescent="0.35">
      <c r="A4" s="437" t="str">
        <f>'Customer Info'!$B$11</f>
        <v>Breakdown of Charges Based on Entered Information</v>
      </c>
      <c r="B4" s="437"/>
      <c r="C4" s="437"/>
      <c r="D4" s="437"/>
      <c r="E4" s="437"/>
      <c r="F4" s="437"/>
      <c r="G4" s="437"/>
      <c r="H4" s="437"/>
      <c r="I4" s="437"/>
      <c r="J4" s="437"/>
      <c r="K4" s="437"/>
      <c r="L4" s="437"/>
      <c r="M4" s="437"/>
      <c r="N4" s="437"/>
      <c r="O4" s="437"/>
      <c r="P4" s="437"/>
      <c r="Q4" s="199"/>
    </row>
    <row r="5" spans="1:59" ht="15.5" x14ac:dyDescent="0.35">
      <c r="A5" s="75"/>
      <c r="B5" s="75"/>
      <c r="C5" s="75"/>
      <c r="D5" s="75"/>
      <c r="E5" s="75"/>
      <c r="F5" s="75"/>
      <c r="G5" s="75"/>
      <c r="H5" s="75"/>
      <c r="I5" s="75"/>
      <c r="J5" s="75"/>
      <c r="K5" s="75"/>
      <c r="L5" s="75"/>
      <c r="M5" s="75"/>
      <c r="N5" s="75"/>
      <c r="O5" s="75"/>
      <c r="P5" s="75"/>
      <c r="Q5" s="75"/>
    </row>
    <row r="6" spans="1:59" x14ac:dyDescent="0.25">
      <c r="A6" s="76">
        <f ca="1">TODAY()</f>
        <v>45378</v>
      </c>
      <c r="B6" s="444" t="s">
        <v>245</v>
      </c>
      <c r="C6" s="444"/>
      <c r="D6" s="444"/>
      <c r="E6" s="444"/>
      <c r="F6" s="444"/>
      <c r="G6" s="444"/>
      <c r="H6" s="444"/>
      <c r="I6" s="444"/>
      <c r="J6" s="444"/>
      <c r="K6" s="444"/>
      <c r="L6" s="444"/>
      <c r="M6" s="444"/>
      <c r="N6" s="444"/>
      <c r="O6" s="444"/>
    </row>
    <row r="7" spans="1:59" x14ac:dyDescent="0.25">
      <c r="A7" s="435" t="s">
        <v>15</v>
      </c>
      <c r="B7" s="435"/>
      <c r="C7" s="435"/>
      <c r="D7" s="435"/>
      <c r="E7" s="435"/>
      <c r="F7" s="435"/>
      <c r="G7" s="435"/>
      <c r="H7" s="435"/>
      <c r="I7" s="435"/>
      <c r="J7" s="435"/>
      <c r="K7" s="435"/>
    </row>
    <row r="8" spans="1:59" x14ac:dyDescent="0.25">
      <c r="C8" s="18"/>
      <c r="D8" s="18"/>
      <c r="E8" s="18"/>
      <c r="F8" s="18"/>
      <c r="G8" s="18"/>
      <c r="H8" s="18"/>
      <c r="I8" s="18"/>
      <c r="J8" s="18"/>
      <c r="K8" s="18"/>
    </row>
    <row r="9" spans="1:59" ht="15.5" x14ac:dyDescent="0.35">
      <c r="A9" s="23" t="s">
        <v>2</v>
      </c>
      <c r="B9" s="24"/>
      <c r="C9" s="25">
        <f>'Customer Info'!B7</f>
        <v>0</v>
      </c>
      <c r="I9" s="26"/>
    </row>
    <row r="10" spans="1:59" ht="15.5" x14ac:dyDescent="0.35">
      <c r="A10" s="27" t="s">
        <v>26</v>
      </c>
      <c r="B10" s="24"/>
      <c r="C10" s="25">
        <f>'Customer Info'!B8</f>
        <v>0</v>
      </c>
    </row>
    <row r="11" spans="1:59" ht="13" x14ac:dyDescent="0.3">
      <c r="A11" s="23" t="s">
        <v>99</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ht="13" x14ac:dyDescent="0.3">
      <c r="A12" s="142"/>
      <c r="B12" s="143"/>
      <c r="C12" s="144"/>
      <c r="D12" s="144"/>
      <c r="E12" s="144"/>
      <c r="F12" s="144"/>
      <c r="G12" s="144"/>
      <c r="H12" s="144"/>
      <c r="I12" s="144"/>
      <c r="J12" s="144"/>
      <c r="K12" s="144"/>
      <c r="L12" s="144"/>
      <c r="M12" s="144"/>
      <c r="N12" s="144"/>
      <c r="O12" s="144"/>
      <c r="P12" s="144"/>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59" ht="15.5" x14ac:dyDescent="0.35">
      <c r="A13" s="148" t="s">
        <v>27</v>
      </c>
      <c r="B13" s="149"/>
      <c r="C13" s="150"/>
      <c r="D13" s="78"/>
      <c r="E13" s="78"/>
      <c r="F13" s="78"/>
      <c r="G13" s="78"/>
      <c r="H13" s="78"/>
      <c r="I13" s="78"/>
      <c r="J13" s="151"/>
      <c r="K13" s="151"/>
      <c r="L13" s="151"/>
      <c r="M13" s="151"/>
      <c r="N13" s="151"/>
      <c r="O13" s="151"/>
      <c r="P13" s="151"/>
      <c r="R13" s="78"/>
      <c r="S13" s="246"/>
      <c r="T13" s="246"/>
      <c r="U13" s="246"/>
      <c r="V13" s="246"/>
      <c r="W13" s="246"/>
      <c r="X13" s="246"/>
      <c r="Y13" s="246"/>
      <c r="Z13" s="246"/>
      <c r="AA13" s="246"/>
      <c r="AB13" s="246"/>
      <c r="AC13" s="246"/>
      <c r="AD13" s="246"/>
      <c r="AE13" s="78"/>
    </row>
    <row r="14" spans="1:59" x14ac:dyDescent="0.25">
      <c r="A14" s="78"/>
      <c r="B14" s="78"/>
      <c r="C14" s="78"/>
      <c r="D14" s="78"/>
      <c r="E14" s="78"/>
      <c r="F14" s="78"/>
      <c r="G14" s="139" t="s">
        <v>15</v>
      </c>
      <c r="H14" s="139"/>
      <c r="I14" s="152" t="s">
        <v>15</v>
      </c>
      <c r="J14" s="151"/>
      <c r="K14" s="151"/>
      <c r="L14" s="151"/>
      <c r="M14" s="151"/>
      <c r="N14" s="151"/>
      <c r="O14" s="151"/>
      <c r="P14" s="151"/>
      <c r="Q14" s="78"/>
      <c r="R14" s="78"/>
      <c r="S14" s="246"/>
      <c r="T14" s="246"/>
      <c r="U14" s="246"/>
      <c r="V14" s="246"/>
      <c r="W14" s="246"/>
      <c r="X14" s="246"/>
      <c r="Y14" s="246"/>
      <c r="Z14" s="246"/>
      <c r="AA14" s="246"/>
      <c r="AB14" s="246"/>
      <c r="AC14" s="246"/>
      <c r="AD14" s="246"/>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5">
      <c r="A15" s="78"/>
      <c r="B15" s="78"/>
      <c r="C15" s="78"/>
      <c r="D15" s="78"/>
      <c r="E15" s="78"/>
      <c r="F15" s="78"/>
      <c r="G15" s="78"/>
      <c r="H15" s="78"/>
      <c r="I15" s="78"/>
      <c r="J15" s="151"/>
      <c r="K15" s="151"/>
      <c r="L15" s="151"/>
      <c r="M15" s="151"/>
      <c r="N15" s="151"/>
      <c r="O15" s="151"/>
      <c r="P15" s="151"/>
      <c r="Q15" s="78"/>
      <c r="R15" s="210"/>
      <c r="S15" s="78"/>
      <c r="T15" s="78"/>
      <c r="U15" s="78"/>
      <c r="V15" s="78"/>
      <c r="W15" s="78"/>
      <c r="X15" s="78"/>
      <c r="Y15" s="78"/>
      <c r="Z15" s="78"/>
      <c r="AA15" s="78"/>
      <c r="AB15" s="78"/>
      <c r="AC15" s="78"/>
      <c r="AD15" s="78"/>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5">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5">
      <c r="A17" s="153" t="s">
        <v>51</v>
      </c>
      <c r="B17" s="78"/>
      <c r="D17" s="154">
        <f>IF('Customer Info'!B21+'Customer Info'!B22-'Customer Info'!B23&lt;0,0,'Customer Info'!B21+'Customer Info'!B22-'Customer Info'!B23)</f>
        <v>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5">
      <c r="A18" s="153"/>
      <c r="B18" s="78"/>
      <c r="C18" s="154"/>
      <c r="D18" s="153"/>
      <c r="E18" s="78"/>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5">
      <c r="A19" s="153"/>
      <c r="B19" s="78"/>
      <c r="C19" s="154"/>
      <c r="D19" s="153"/>
      <c r="E19" s="78"/>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5">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5">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ht="13" x14ac:dyDescent="0.3">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31</v>
      </c>
      <c r="B23" s="78"/>
      <c r="C23" s="78"/>
      <c r="D23" s="78"/>
      <c r="E23" s="78"/>
      <c r="F23" s="78"/>
      <c r="G23" s="441" t="s">
        <v>67</v>
      </c>
      <c r="H23" s="442"/>
      <c r="I23" s="442"/>
      <c r="J23" s="443"/>
      <c r="K23" s="159"/>
      <c r="L23" s="438" t="s">
        <v>68</v>
      </c>
      <c r="M23" s="439"/>
      <c r="N23" s="439"/>
      <c r="O23" s="440"/>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ht="13" x14ac:dyDescent="0.3">
      <c r="A24" s="78"/>
      <c r="B24" s="78"/>
      <c r="C24" s="78"/>
      <c r="D24" s="78"/>
      <c r="E24" s="78"/>
      <c r="F24" s="78"/>
      <c r="G24" s="115" t="s">
        <v>64</v>
      </c>
      <c r="H24" s="115" t="s">
        <v>65</v>
      </c>
      <c r="I24" s="115" t="s">
        <v>66</v>
      </c>
      <c r="J24" s="115" t="s">
        <v>34</v>
      </c>
      <c r="K24" s="78"/>
      <c r="L24" s="146" t="s">
        <v>64</v>
      </c>
      <c r="M24" s="146" t="s">
        <v>65</v>
      </c>
      <c r="N24" s="146" t="s">
        <v>66</v>
      </c>
      <c r="O24" s="146" t="s">
        <v>34</v>
      </c>
      <c r="P24" s="161" t="s">
        <v>56</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5">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5">
      <c r="A26" s="78" t="s">
        <v>186</v>
      </c>
      <c r="B26" s="78"/>
      <c r="C26" s="78"/>
      <c r="D26" s="1">
        <f>MAX($D$17,0)</f>
        <v>0</v>
      </c>
      <c r="E26" s="101" t="s">
        <v>41</v>
      </c>
      <c r="F26" s="106" t="s">
        <v>8</v>
      </c>
      <c r="G26" s="247"/>
      <c r="H26" s="163"/>
      <c r="I26" s="165">
        <v>2.6312499999999999E-2</v>
      </c>
      <c r="J26" s="103">
        <f>SUM(G26:I26)</f>
        <v>2.6312499999999999E-2</v>
      </c>
      <c r="K26" s="108" t="s">
        <v>91</v>
      </c>
      <c r="L26" s="105"/>
      <c r="M26" s="105"/>
      <c r="N26" s="105">
        <f>ROUND($D26*I26,2)</f>
        <v>0</v>
      </c>
      <c r="O26" s="250">
        <f>SUM(L26:N26)</f>
        <v>0</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ht="13" x14ac:dyDescent="0.3">
      <c r="A27" s="166" t="s">
        <v>50</v>
      </c>
      <c r="B27" s="166"/>
      <c r="C27" s="166"/>
      <c r="D27" s="167"/>
      <c r="E27" s="167"/>
      <c r="F27" s="166"/>
      <c r="G27" s="167"/>
      <c r="H27" s="167"/>
      <c r="I27" s="167"/>
      <c r="J27" s="167"/>
      <c r="K27" s="168"/>
      <c r="L27" s="169"/>
      <c r="M27" s="169"/>
      <c r="N27" s="169">
        <f>SUM(N25:N26)</f>
        <v>10</v>
      </c>
      <c r="O27" s="169">
        <f>SUM(O25:O26)</f>
        <v>10</v>
      </c>
      <c r="P27" s="160"/>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ht="13" x14ac:dyDescent="0.3">
      <c r="A28" s="170"/>
      <c r="B28" s="170"/>
      <c r="C28" s="170"/>
      <c r="D28" s="171"/>
      <c r="E28" s="171"/>
      <c r="F28" s="170"/>
      <c r="G28" s="171"/>
      <c r="H28" s="171"/>
      <c r="I28" s="171"/>
      <c r="J28" s="171"/>
      <c r="K28" s="172"/>
      <c r="L28" s="171"/>
      <c r="M28" s="171"/>
      <c r="N28" s="171"/>
      <c r="O28" s="171"/>
      <c r="P28" s="173"/>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ht="13" x14ac:dyDescent="0.3">
      <c r="A29" s="148" t="s">
        <v>69</v>
      </c>
      <c r="B29" s="166"/>
      <c r="C29" s="166"/>
      <c r="D29" s="167"/>
      <c r="E29" s="167"/>
      <c r="F29" s="166"/>
      <c r="G29" s="167"/>
      <c r="H29" s="167"/>
      <c r="I29" s="167"/>
      <c r="J29" s="167"/>
      <c r="K29" s="167"/>
      <c r="L29" s="167"/>
      <c r="M29" s="167"/>
      <c r="N29" s="167"/>
      <c r="O29" s="167"/>
      <c r="P29" s="160"/>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151"/>
      <c r="B30" s="151"/>
      <c r="C30" s="151"/>
      <c r="D30" s="151"/>
      <c r="E30" s="151"/>
      <c r="F30" s="151"/>
      <c r="G30" s="151"/>
      <c r="H30" s="151"/>
      <c r="I30" s="151"/>
      <c r="J30" s="151"/>
      <c r="K30" s="151"/>
      <c r="L30" s="151"/>
      <c r="M30" s="151"/>
      <c r="N30" s="151"/>
      <c r="O30" s="151"/>
      <c r="P30" s="174"/>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78</v>
      </c>
      <c r="B31" s="176"/>
      <c r="C31" s="176"/>
      <c r="D31" s="100">
        <f>IF($D$17&lt;0,0,IF($D$17&gt;833000,833000,$D$17))</f>
        <v>0</v>
      </c>
      <c r="E31" s="101" t="s">
        <v>41</v>
      </c>
      <c r="F31" s="102" t="s">
        <v>8</v>
      </c>
      <c r="G31" s="103"/>
      <c r="H31" s="103"/>
      <c r="I31" s="103">
        <f>'Rider Rates'!$B$4</f>
        <v>5.9216E-3</v>
      </c>
      <c r="J31" s="103">
        <f t="shared" ref="J31:J37" si="0">SUM(G31:I31)</f>
        <v>5.9216E-3</v>
      </c>
      <c r="K31" s="104" t="s">
        <v>42</v>
      </c>
      <c r="L31" s="105"/>
      <c r="M31" s="105"/>
      <c r="N31" s="105">
        <f t="shared" ref="N31:N36" si="1">ROUND(D31*I31,2)</f>
        <v>0</v>
      </c>
      <c r="O31" s="250">
        <f t="shared" ref="O31:O52" si="2">SUM(L31:N31)</f>
        <v>0</v>
      </c>
      <c r="P31" s="245">
        <f>'Rider Rates'!$D$4</f>
        <v>45293</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99" t="s">
        <v>79</v>
      </c>
      <c r="B32" s="78"/>
      <c r="C32" s="78"/>
      <c r="D32" s="123">
        <f>IF($D$17&gt;833000,$D$17-833000,0)</f>
        <v>0</v>
      </c>
      <c r="E32" s="101" t="s">
        <v>41</v>
      </c>
      <c r="F32" s="102" t="s">
        <v>8</v>
      </c>
      <c r="G32" s="103"/>
      <c r="H32" s="103"/>
      <c r="I32" s="103">
        <f>'Rider Rates'!$B$5</f>
        <v>1.7560000000000001E-4</v>
      </c>
      <c r="J32" s="103">
        <f t="shared" si="0"/>
        <v>1.7560000000000001E-4</v>
      </c>
      <c r="K32" s="104" t="s">
        <v>42</v>
      </c>
      <c r="L32" s="105"/>
      <c r="M32" s="105"/>
      <c r="N32" s="105">
        <f t="shared" si="1"/>
        <v>0</v>
      </c>
      <c r="O32" s="105">
        <f t="shared" si="2"/>
        <v>0</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99" t="s">
        <v>96</v>
      </c>
      <c r="B33" s="78"/>
      <c r="C33" s="78"/>
      <c r="D33" s="100">
        <f>IF($D$17&lt;0,0,IF($D$17&gt;2000,2000,$D$17))</f>
        <v>0</v>
      </c>
      <c r="E33" s="101" t="s">
        <v>41</v>
      </c>
      <c r="F33" s="102" t="s">
        <v>8</v>
      </c>
      <c r="G33" s="103"/>
      <c r="H33" s="103"/>
      <c r="I33" s="177">
        <f>'Rider Rates'!$B$8</f>
        <v>4.6499999999999996E-3</v>
      </c>
      <c r="J33" s="177">
        <f t="shared" si="0"/>
        <v>4.6499999999999996E-3</v>
      </c>
      <c r="K33" s="104" t="s">
        <v>42</v>
      </c>
      <c r="L33" s="105"/>
      <c r="M33" s="105"/>
      <c r="N33" s="105">
        <f t="shared" si="1"/>
        <v>0</v>
      </c>
      <c r="O33" s="105">
        <f t="shared" si="2"/>
        <v>0</v>
      </c>
      <c r="P33" s="245">
        <f>'Rider Rates'!$D$7</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99" t="s">
        <v>97</v>
      </c>
      <c r="B34" s="78"/>
      <c r="C34" s="78"/>
      <c r="D34" s="100">
        <f>IF($D$17&lt;=2000,0,IF($D$17=0,0,IF($D$17-2000&gt;13000,13000,$D$17-2000)))</f>
        <v>0</v>
      </c>
      <c r="E34" s="101" t="s">
        <v>41</v>
      </c>
      <c r="F34" s="102" t="s">
        <v>8</v>
      </c>
      <c r="G34" s="103"/>
      <c r="H34" s="103"/>
      <c r="I34" s="177">
        <f>'Rider Rates'!$B$9</f>
        <v>4.1900000000000001E-3</v>
      </c>
      <c r="J34" s="177">
        <f t="shared" si="0"/>
        <v>4.1900000000000001E-3</v>
      </c>
      <c r="K34" s="104" t="s">
        <v>42</v>
      </c>
      <c r="L34" s="105"/>
      <c r="M34" s="105"/>
      <c r="N34" s="105">
        <f t="shared" si="1"/>
        <v>0</v>
      </c>
      <c r="O34" s="105">
        <f t="shared" si="2"/>
        <v>0</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99" t="s">
        <v>98</v>
      </c>
      <c r="B35" s="78"/>
      <c r="C35" s="78"/>
      <c r="D35" s="100">
        <f>IF($D$17=0,0,IF($D$17-15000&gt;=0,$D$17-15000,0))</f>
        <v>0</v>
      </c>
      <c r="E35" s="101" t="s">
        <v>41</v>
      </c>
      <c r="F35" s="102" t="s">
        <v>8</v>
      </c>
      <c r="G35" s="103"/>
      <c r="H35" s="103"/>
      <c r="I35" s="177">
        <f>'Rider Rates'!$B$10</f>
        <v>3.63E-3</v>
      </c>
      <c r="J35" s="177">
        <f t="shared" si="0"/>
        <v>3.63E-3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160</v>
      </c>
      <c r="B36" s="78"/>
      <c r="C36" s="78"/>
      <c r="D36" s="100">
        <f>IF($D$17&lt;0,0,$D$17)</f>
        <v>0</v>
      </c>
      <c r="E36" s="101" t="s">
        <v>41</v>
      </c>
      <c r="F36" s="102" t="s">
        <v>8</v>
      </c>
      <c r="G36" s="103"/>
      <c r="H36" s="103"/>
      <c r="I36" s="103">
        <f>'Rider Rates'!B15</f>
        <v>0</v>
      </c>
      <c r="J36" s="103">
        <f t="shared" si="0"/>
        <v>0</v>
      </c>
      <c r="K36" s="104" t="s">
        <v>42</v>
      </c>
      <c r="L36" s="105"/>
      <c r="M36" s="105"/>
      <c r="N36" s="105">
        <f t="shared" si="1"/>
        <v>0</v>
      </c>
      <c r="O36" s="105">
        <f t="shared" ref="O36:O42" si="3">SUM(L36:N36)</f>
        <v>0</v>
      </c>
      <c r="P36" s="245">
        <f>'Rider Rates'!$D$15</f>
        <v>45167</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ht="13" x14ac:dyDescent="0.3">
      <c r="A37" s="241" t="s">
        <v>247</v>
      </c>
      <c r="B37" s="78"/>
      <c r="C37" s="78"/>
      <c r="D37" s="195">
        <f>$N$27</f>
        <v>10</v>
      </c>
      <c r="E37" s="101" t="s">
        <v>121</v>
      </c>
      <c r="F37" s="102" t="s">
        <v>8</v>
      </c>
      <c r="G37" s="103"/>
      <c r="H37" s="103"/>
      <c r="I37" s="178">
        <f>'Rider Rates'!$B$18</f>
        <v>0</v>
      </c>
      <c r="J37" s="178">
        <f t="shared" si="0"/>
        <v>0</v>
      </c>
      <c r="K37" s="104"/>
      <c r="L37" s="105"/>
      <c r="M37" s="105"/>
      <c r="N37" s="105">
        <f>ROUND($D$37*'Rider Rates'!$B$18,2)+ROUND($D$37*'Rider Rates'!$E$18,2)</f>
        <v>0</v>
      </c>
      <c r="O37" s="105">
        <f t="shared" si="3"/>
        <v>0</v>
      </c>
      <c r="P37" s="245">
        <f>MAX('Rider Rates'!$D$18,'Rider Rates'!$F$18)</f>
        <v>44531</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210" t="s">
        <v>195</v>
      </c>
      <c r="B38" s="78"/>
      <c r="C38" s="78"/>
      <c r="D38" s="100">
        <f>'Customer Info'!$B$21+'Customer Info'!$B$22-'Customer Info'!$B$23</f>
        <v>0</v>
      </c>
      <c r="E38" s="101" t="s">
        <v>41</v>
      </c>
      <c r="F38" s="102" t="s">
        <v>8</v>
      </c>
      <c r="G38" s="103">
        <f>'Rider Rates'!$B$21</f>
        <v>0.10589</v>
      </c>
      <c r="H38" s="103"/>
      <c r="I38" s="103"/>
      <c r="J38" s="237">
        <f>SUM(G38:H38)</f>
        <v>0.10589</v>
      </c>
      <c r="K38" s="104" t="s">
        <v>42</v>
      </c>
      <c r="L38" s="105">
        <f>ROUND(D38*G38,2)</f>
        <v>0</v>
      </c>
      <c r="M38" s="105"/>
      <c r="N38" s="105"/>
      <c r="O38" s="105">
        <f t="shared" si="3"/>
        <v>0</v>
      </c>
      <c r="P38" s="245">
        <f>'Rider Rates'!$D$21</f>
        <v>45078</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210" t="s">
        <v>162</v>
      </c>
      <c r="B39" s="78"/>
      <c r="C39" s="78"/>
      <c r="D39" s="100">
        <f>'Customer Info'!$B$21+'Customer Info'!$B$22-'Customer Info'!$B$23</f>
        <v>0</v>
      </c>
      <c r="E39" s="101" t="s">
        <v>41</v>
      </c>
      <c r="F39" s="102" t="s">
        <v>8</v>
      </c>
      <c r="G39" s="103">
        <f>'Rider Rates'!$B$28</f>
        <v>3.8800000000000002E-3</v>
      </c>
      <c r="H39" s="103"/>
      <c r="I39" s="103"/>
      <c r="J39" s="237">
        <f>SUM(G39:H39)</f>
        <v>3.8800000000000002E-3</v>
      </c>
      <c r="K39" s="104" t="s">
        <v>42</v>
      </c>
      <c r="L39" s="239">
        <f>ROUND($D$39*$G$39,2)</f>
        <v>0</v>
      </c>
      <c r="M39" s="105"/>
      <c r="N39" s="105"/>
      <c r="O39" s="105">
        <f>SUM(L39:N39)</f>
        <v>0</v>
      </c>
      <c r="P39" s="245">
        <f>'Rider Rates'!$D$28</f>
        <v>45078</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210" t="s">
        <v>202</v>
      </c>
      <c r="B40" s="78"/>
      <c r="C40" s="78"/>
      <c r="D40" s="100">
        <f>'Customer Info'!$B$21+'Customer Info'!$B$22-'Customer Info'!$B$23</f>
        <v>0</v>
      </c>
      <c r="E40" s="101" t="s">
        <v>41</v>
      </c>
      <c r="F40" s="102" t="s">
        <v>8</v>
      </c>
      <c r="G40" s="103">
        <f>'Rider Rates'!$B$46</f>
        <v>-4.8640000000000001E-4</v>
      </c>
      <c r="H40" s="103"/>
      <c r="I40" s="103"/>
      <c r="J40" s="237">
        <f>SUM(G40:H40)</f>
        <v>-4.8640000000000001E-4</v>
      </c>
      <c r="K40" s="104" t="s">
        <v>42</v>
      </c>
      <c r="L40" s="105">
        <f>ROUND(D40*G40,2)</f>
        <v>0</v>
      </c>
      <c r="M40" s="105"/>
      <c r="N40" s="105"/>
      <c r="O40" s="105">
        <f t="shared" si="3"/>
        <v>0</v>
      </c>
      <c r="P40" s="245">
        <f>'Rider Rates'!$D$46</f>
        <v>45383</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241" t="s">
        <v>220</v>
      </c>
      <c r="B41" s="78"/>
      <c r="C41" s="78"/>
      <c r="D41" s="100"/>
      <c r="E41" s="101" t="s">
        <v>114</v>
      </c>
      <c r="F41" s="102"/>
      <c r="G41" s="103"/>
      <c r="H41" s="103"/>
      <c r="I41" s="103">
        <f>'Rider Rates'!D49</f>
        <v>1.47</v>
      </c>
      <c r="J41" s="237">
        <f t="shared" ref="J41:J46" si="4">SUM(G41:I41)</f>
        <v>1.47</v>
      </c>
      <c r="K41" s="104"/>
      <c r="L41" s="105"/>
      <c r="M41" s="105"/>
      <c r="N41" s="105">
        <f>J41</f>
        <v>1.47</v>
      </c>
      <c r="O41" s="105">
        <f>SUM(L41:N41)</f>
        <v>1.47</v>
      </c>
      <c r="P41" s="245">
        <f>'Rider Rates'!E49</f>
        <v>45292</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5">
      <c r="A42" s="210" t="s">
        <v>198</v>
      </c>
      <c r="B42" s="78"/>
      <c r="C42" s="78"/>
      <c r="D42" s="100">
        <f>IF($D$17&lt;0,0,$D$17)</f>
        <v>0</v>
      </c>
      <c r="E42" s="113" t="s">
        <v>41</v>
      </c>
      <c r="F42" s="102" t="s">
        <v>8</v>
      </c>
      <c r="G42" s="103"/>
      <c r="H42" s="103">
        <f>'Rider Rates'!$B$56</f>
        <v>4.3837099999999997E-2</v>
      </c>
      <c r="I42" s="103"/>
      <c r="J42" s="103">
        <f t="shared" si="4"/>
        <v>4.3837099999999997E-2</v>
      </c>
      <c r="K42" s="104" t="s">
        <v>42</v>
      </c>
      <c r="L42" s="105"/>
      <c r="M42" s="105">
        <f>ROUND(D42*H42,2)</f>
        <v>0</v>
      </c>
      <c r="N42" s="205"/>
      <c r="O42" s="105">
        <f t="shared" si="3"/>
        <v>0</v>
      </c>
      <c r="P42" s="245">
        <f>'Rider Rates'!$D$56</f>
        <v>45383</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5">
      <c r="A43" s="99" t="s">
        <v>95</v>
      </c>
      <c r="B43" s="78"/>
      <c r="C43" s="78"/>
      <c r="D43" s="100">
        <f>IF('Customer Info'!C34=TRUE,0,IF($D$17&lt;0,0,$D$17))</f>
        <v>0</v>
      </c>
      <c r="E43" s="101" t="s">
        <v>41</v>
      </c>
      <c r="F43" s="102" t="s">
        <v>8</v>
      </c>
      <c r="G43" s="103"/>
      <c r="H43" s="103"/>
      <c r="I43" s="103">
        <f>'Rider Rates'!$B$68+'Rider Rates'!$C$68</f>
        <v>0</v>
      </c>
      <c r="J43" s="103">
        <f t="shared" si="4"/>
        <v>0</v>
      </c>
      <c r="K43" s="104" t="s">
        <v>42</v>
      </c>
      <c r="L43" s="105"/>
      <c r="M43" s="105"/>
      <c r="N43" s="105">
        <f>ROUND($D$43*'Rider Rates'!$B$68,2)+ROUND($D$43*'Rider Rates'!$C$68,2)</f>
        <v>0</v>
      </c>
      <c r="O43" s="250">
        <f t="shared" si="2"/>
        <v>0</v>
      </c>
      <c r="P43" s="245">
        <f>'Rider Rates'!$D$68</f>
        <v>44531</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99" t="s">
        <v>80</v>
      </c>
      <c r="B44" s="78"/>
      <c r="C44" s="78"/>
      <c r="D44" s="195">
        <f>$N$27</f>
        <v>10</v>
      </c>
      <c r="E44" s="101" t="s">
        <v>121</v>
      </c>
      <c r="F44" s="102" t="s">
        <v>8</v>
      </c>
      <c r="G44" s="111"/>
      <c r="H44" s="112"/>
      <c r="I44" s="120">
        <f>'Rider Rates'!$B$84</f>
        <v>2.9347000000000002E-2</v>
      </c>
      <c r="J44" s="120">
        <f t="shared" si="4"/>
        <v>2.9347000000000002E-2</v>
      </c>
      <c r="K44" s="104"/>
      <c r="L44" s="105"/>
      <c r="M44" s="105"/>
      <c r="N44" s="105">
        <f>ROUND(D44*I44,2)</f>
        <v>0.28999999999999998</v>
      </c>
      <c r="O44" s="105">
        <f t="shared" si="2"/>
        <v>0.28999999999999998</v>
      </c>
      <c r="P44" s="245">
        <f>'Rider Rates'!$D$84</f>
        <v>45383</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99" t="s">
        <v>81</v>
      </c>
      <c r="B45" s="78"/>
      <c r="C45" s="78"/>
      <c r="D45" s="195">
        <f>$N$27</f>
        <v>10</v>
      </c>
      <c r="E45" s="101" t="s">
        <v>121</v>
      </c>
      <c r="F45" s="102" t="s">
        <v>8</v>
      </c>
      <c r="G45" s="114"/>
      <c r="H45" s="115"/>
      <c r="I45" s="120">
        <f>'Rider Rates'!$B$86</f>
        <v>6.6985699999999995E-2</v>
      </c>
      <c r="J45" s="120">
        <f t="shared" si="4"/>
        <v>6.6985699999999995E-2</v>
      </c>
      <c r="K45" s="104"/>
      <c r="L45" s="105"/>
      <c r="M45" s="105"/>
      <c r="N45" s="105">
        <f>ROUND(D45*I45,2)</f>
        <v>0.67</v>
      </c>
      <c r="O45" s="105">
        <f t="shared" si="2"/>
        <v>0.67</v>
      </c>
      <c r="P45" s="245">
        <f>'Rider Rates'!$D$86</f>
        <v>45167</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210" t="s">
        <v>216</v>
      </c>
      <c r="B46" s="78"/>
      <c r="C46" s="78"/>
      <c r="D46" s="195"/>
      <c r="E46" s="113" t="s">
        <v>114</v>
      </c>
      <c r="F46" s="106"/>
      <c r="G46" s="114"/>
      <c r="H46" s="115"/>
      <c r="I46" s="196">
        <f>'Rider Rates'!$B$89</f>
        <v>1.95</v>
      </c>
      <c r="J46" s="196">
        <f t="shared" si="4"/>
        <v>1.95</v>
      </c>
      <c r="K46" s="104"/>
      <c r="L46" s="105"/>
      <c r="M46" s="105"/>
      <c r="N46" s="105">
        <f>I46</f>
        <v>1.95</v>
      </c>
      <c r="O46" s="250">
        <f>SUM(L46:N46)</f>
        <v>1.95</v>
      </c>
      <c r="P46" s="245">
        <f>'Rider Rates'!$D$89</f>
        <v>45259</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5">
      <c r="A47" s="241" t="s">
        <v>249</v>
      </c>
      <c r="B47" s="78"/>
      <c r="C47" s="78"/>
      <c r="D47" s="100">
        <f>IF($D$17&lt;0,0,$D$17)</f>
        <v>0</v>
      </c>
      <c r="E47" s="101" t="s">
        <v>41</v>
      </c>
      <c r="F47" s="102" t="s">
        <v>8</v>
      </c>
      <c r="G47" s="103"/>
      <c r="H47" s="103"/>
      <c r="I47" s="103"/>
      <c r="J47" s="103">
        <f>'Rider Rates'!$B$93</f>
        <v>0</v>
      </c>
      <c r="K47" s="104" t="s">
        <v>42</v>
      </c>
      <c r="L47" s="105"/>
      <c r="M47" s="105"/>
      <c r="N47" s="105"/>
      <c r="O47" s="105">
        <f>ROUND($D47*('Rider Rates'!B$93),2)</f>
        <v>0</v>
      </c>
      <c r="P47" s="245">
        <f>'Rider Rates'!$D$93</f>
        <v>44531</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ht="13" x14ac:dyDescent="0.3">
      <c r="A48" s="99" t="s">
        <v>157</v>
      </c>
      <c r="B48" s="78"/>
      <c r="C48" s="78"/>
      <c r="D48" s="195">
        <f>$N$27</f>
        <v>10</v>
      </c>
      <c r="E48" s="101" t="s">
        <v>121</v>
      </c>
      <c r="F48" s="102" t="s">
        <v>8</v>
      </c>
      <c r="G48" s="114"/>
      <c r="H48" s="115"/>
      <c r="I48" s="120">
        <f>'Rider Rates'!$B$104</f>
        <v>0.21398439999999999</v>
      </c>
      <c r="J48" s="238">
        <f>SUM(G48:I48)</f>
        <v>0.21398439999999999</v>
      </c>
      <c r="K48" s="104"/>
      <c r="L48" s="105"/>
      <c r="M48" s="105"/>
      <c r="N48" s="105">
        <f>ROUND(D48*I48,2)</f>
        <v>2.14</v>
      </c>
      <c r="O48" s="105">
        <f t="shared" si="2"/>
        <v>2.14</v>
      </c>
      <c r="P48" s="245">
        <f>'Rider Rates'!$D$104</f>
        <v>45351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ht="13" x14ac:dyDescent="0.3">
      <c r="A49" s="210" t="s">
        <v>219</v>
      </c>
      <c r="B49" s="78"/>
      <c r="C49" s="78"/>
      <c r="D49" s="195"/>
      <c r="E49" s="113" t="s">
        <v>114</v>
      </c>
      <c r="F49" s="106"/>
      <c r="G49" s="114"/>
      <c r="H49" s="115"/>
      <c r="I49" s="196">
        <f>'Rider Rates'!$B$107</f>
        <v>0</v>
      </c>
      <c r="J49" s="196">
        <f>SUM(G49:I49)</f>
        <v>0</v>
      </c>
      <c r="K49" s="104"/>
      <c r="L49" s="105"/>
      <c r="M49" s="105"/>
      <c r="N49" s="105">
        <f>I49</f>
        <v>0</v>
      </c>
      <c r="O49" s="105">
        <f>SUM(L49:N49)</f>
        <v>0</v>
      </c>
      <c r="P49" s="245">
        <f>'Rider Rates'!$D$107</f>
        <v>44894</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ht="13" x14ac:dyDescent="0.3">
      <c r="A50" s="210" t="s">
        <v>227</v>
      </c>
      <c r="B50" s="78"/>
      <c r="C50" s="78"/>
      <c r="D50" s="195"/>
      <c r="E50" s="113" t="s">
        <v>114</v>
      </c>
      <c r="F50" s="106"/>
      <c r="G50" s="114"/>
      <c r="H50" s="115"/>
      <c r="I50" s="260">
        <f>'Rider Rates'!B120</f>
        <v>1.26</v>
      </c>
      <c r="J50" s="261">
        <f>SUM(G50:I50)</f>
        <v>1.26</v>
      </c>
      <c r="K50" s="104"/>
      <c r="L50" s="105"/>
      <c r="M50" s="105"/>
      <c r="N50" s="262">
        <f>I50</f>
        <v>1.26</v>
      </c>
      <c r="O50" s="105">
        <f>SUM(L50:N50)</f>
        <v>1.26</v>
      </c>
      <c r="P50" s="245">
        <f>'Rider Rates'!D120</f>
        <v>45226</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99" t="s">
        <v>158</v>
      </c>
      <c r="B51" s="78"/>
      <c r="C51" s="78"/>
      <c r="D51" s="100">
        <f>'Customer Info'!$B$21+'Customer Info'!$B$22-'Customer Info'!$B$23</f>
        <v>0</v>
      </c>
      <c r="E51" s="101" t="s">
        <v>41</v>
      </c>
      <c r="F51" s="102" t="s">
        <v>8</v>
      </c>
      <c r="G51" s="103">
        <f>'Rider Rates'!$B$111</f>
        <v>3.8972999999999998E-3</v>
      </c>
      <c r="H51" s="103"/>
      <c r="I51" s="103"/>
      <c r="J51" s="237">
        <f>SUM(G51:H51)</f>
        <v>3.8972999999999998E-3</v>
      </c>
      <c r="K51" s="104" t="s">
        <v>42</v>
      </c>
      <c r="L51" s="105">
        <f>ROUND(D51*G51,2)</f>
        <v>0</v>
      </c>
      <c r="M51" s="105"/>
      <c r="N51" s="105"/>
      <c r="O51" s="105">
        <f t="shared" si="2"/>
        <v>0</v>
      </c>
      <c r="P51" s="245">
        <f>'Rider Rates'!$D$111</f>
        <v>44531</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210" t="s">
        <v>218</v>
      </c>
      <c r="B52" s="78"/>
      <c r="C52" s="78"/>
      <c r="D52" s="100">
        <f>IF($D$17&lt;1,0,$D$17)</f>
        <v>0</v>
      </c>
      <c r="E52" s="101" t="s">
        <v>41</v>
      </c>
      <c r="F52" s="249" t="s">
        <v>8</v>
      </c>
      <c r="G52" s="103"/>
      <c r="H52" s="103"/>
      <c r="I52" s="103">
        <f>'Rider Rates'!$B$116</f>
        <v>-2.3000000000000001E-4</v>
      </c>
      <c r="J52" s="237">
        <f>SUM(G52:I52)</f>
        <v>-2.3000000000000001E-4</v>
      </c>
      <c r="K52" s="104" t="s">
        <v>42</v>
      </c>
      <c r="L52" s="105"/>
      <c r="M52" s="105"/>
      <c r="N52" s="105">
        <f>D52*J52</f>
        <v>0</v>
      </c>
      <c r="O52" s="105">
        <f t="shared" si="2"/>
        <v>0</v>
      </c>
      <c r="P52" s="245">
        <f>'Rider Rates'!D116</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241" t="s">
        <v>240</v>
      </c>
      <c r="B53" s="78"/>
      <c r="C53" s="78"/>
      <c r="D53" s="100"/>
      <c r="E53" s="101" t="s">
        <v>114</v>
      </c>
      <c r="F53" s="102" t="s">
        <v>8</v>
      </c>
      <c r="G53" s="265"/>
      <c r="H53" s="265"/>
      <c r="I53" s="265">
        <f>'Rider Rates'!$B$124</f>
        <v>0.1</v>
      </c>
      <c r="J53" s="265">
        <f>SUM(G53:I53)</f>
        <v>0.1</v>
      </c>
      <c r="K53" s="104"/>
      <c r="L53" s="209"/>
      <c r="M53" s="209"/>
      <c r="N53" s="209">
        <f>J53</f>
        <v>0.1</v>
      </c>
      <c r="O53" s="209">
        <f>SUM(L53:N53)</f>
        <v>0.1</v>
      </c>
      <c r="P53" s="266">
        <f>'Rider Rates'!E124</f>
        <v>44927</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252</v>
      </c>
      <c r="B54" s="78"/>
      <c r="C54" s="78"/>
      <c r="D54" s="100">
        <f>D17</f>
        <v>0</v>
      </c>
      <c r="E54" s="101" t="s">
        <v>41</v>
      </c>
      <c r="F54" s="249" t="s">
        <v>8</v>
      </c>
      <c r="G54" s="103"/>
      <c r="H54" s="103"/>
      <c r="I54" s="103">
        <f>'Rider Rates'!B129</f>
        <v>0</v>
      </c>
      <c r="J54" s="237">
        <f>SUM(G54:I54)</f>
        <v>0</v>
      </c>
      <c r="K54" s="104" t="s">
        <v>42</v>
      </c>
      <c r="L54" s="105"/>
      <c r="M54" s="105"/>
      <c r="N54" s="105">
        <f>D54*J54</f>
        <v>0</v>
      </c>
      <c r="O54" s="105">
        <f>SUM(L54:N54)</f>
        <v>0</v>
      </c>
      <c r="P54" s="245">
        <f>'Rider Rates'!D129</f>
        <v>44531</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251</v>
      </c>
      <c r="B55" s="78"/>
      <c r="C55" s="78"/>
      <c r="D55" s="100"/>
      <c r="E55" s="101" t="s">
        <v>114</v>
      </c>
      <c r="F55" s="102" t="s">
        <v>8</v>
      </c>
      <c r="G55" s="265"/>
      <c r="H55" s="265"/>
      <c r="I55" s="265">
        <f>'Rider Rates'!$B$136</f>
        <v>0</v>
      </c>
      <c r="J55" s="265">
        <f>SUM(G55:I55)</f>
        <v>0</v>
      </c>
      <c r="K55" s="104"/>
      <c r="L55" s="209"/>
      <c r="M55" s="209"/>
      <c r="N55" s="209">
        <f>J55</f>
        <v>0</v>
      </c>
      <c r="O55" s="209">
        <f>SUM(L55:N55)</f>
        <v>0</v>
      </c>
      <c r="P55" s="266">
        <f>'Rider Rates'!D136</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5">
      <c r="A56" s="241" t="s">
        <v>253</v>
      </c>
      <c r="B56" s="78"/>
      <c r="C56" s="78"/>
      <c r="D56" s="100"/>
      <c r="E56" s="101"/>
      <c r="F56" s="102"/>
      <c r="G56" s="265"/>
      <c r="H56" s="265"/>
      <c r="I56" s="265"/>
      <c r="J56" s="265"/>
      <c r="K56" s="104"/>
      <c r="L56" s="209"/>
      <c r="M56" s="209"/>
      <c r="N56" s="209"/>
      <c r="O56" s="209"/>
      <c r="P56" s="266"/>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ht="13" x14ac:dyDescent="0.3">
      <c r="A57" s="179" t="s">
        <v>70</v>
      </c>
      <c r="B57" s="148"/>
      <c r="C57" s="148"/>
      <c r="D57" s="180"/>
      <c r="E57" s="181"/>
      <c r="F57" s="182"/>
      <c r="G57" s="182"/>
      <c r="H57" s="182"/>
      <c r="I57" s="182"/>
      <c r="J57" s="182"/>
      <c r="K57" s="183"/>
      <c r="L57" s="169">
        <f>SUM(L31:L56)</f>
        <v>0</v>
      </c>
      <c r="M57" s="169">
        <f>SUM(M31:M56)</f>
        <v>0</v>
      </c>
      <c r="N57" s="169">
        <f>SUM(N31:N56)</f>
        <v>7.879999999999999</v>
      </c>
      <c r="O57" s="169">
        <f>SUM(O31:O56)</f>
        <v>7.879999999999999</v>
      </c>
      <c r="P57" s="184"/>
      <c r="Q57" s="106"/>
      <c r="R57" s="166"/>
      <c r="S57" s="166"/>
      <c r="T57" s="189"/>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x14ac:dyDescent="0.25">
      <c r="A58" s="78"/>
      <c r="B58" s="78"/>
      <c r="C58" s="78"/>
      <c r="D58" s="100"/>
      <c r="E58" s="113"/>
      <c r="F58" s="106"/>
      <c r="G58" s="106"/>
      <c r="H58" s="106"/>
      <c r="I58" s="106"/>
      <c r="J58" s="107"/>
      <c r="K58" s="104"/>
      <c r="L58" s="106"/>
      <c r="M58" s="106"/>
      <c r="N58" s="106"/>
      <c r="O58" s="106"/>
      <c r="P58" s="164"/>
      <c r="Q58" s="106"/>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ht="13" x14ac:dyDescent="0.3">
      <c r="A59" s="185" t="s">
        <v>93</v>
      </c>
      <c r="B59" s="170"/>
      <c r="C59" s="170"/>
      <c r="D59" s="170"/>
      <c r="E59" s="170"/>
      <c r="F59" s="170"/>
      <c r="G59" s="170"/>
      <c r="H59" s="170"/>
      <c r="I59" s="170"/>
      <c r="J59" s="170"/>
      <c r="K59" s="170"/>
      <c r="L59" s="186">
        <f>L27+L57</f>
        <v>0</v>
      </c>
      <c r="M59" s="186">
        <f>M27+M57</f>
        <v>0</v>
      </c>
      <c r="N59" s="186">
        <f>N27+N57</f>
        <v>17.88</v>
      </c>
      <c r="O59" s="187">
        <f>O27+O57</f>
        <v>17.88</v>
      </c>
      <c r="P59" s="187"/>
      <c r="Q59" s="106"/>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ht="13" x14ac:dyDescent="0.3">
      <c r="A60" s="78"/>
      <c r="B60" s="78"/>
      <c r="C60" s="78"/>
      <c r="D60" s="78"/>
      <c r="E60" s="78"/>
      <c r="F60" s="78"/>
      <c r="G60" s="78"/>
      <c r="H60" s="78"/>
      <c r="I60" s="78"/>
      <c r="J60" s="78"/>
      <c r="K60" s="78"/>
      <c r="L60" s="78"/>
      <c r="M60" s="78"/>
      <c r="N60" s="151"/>
      <c r="O60" s="151"/>
      <c r="P60" s="151"/>
      <c r="Q60" s="166"/>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ht="13" x14ac:dyDescent="0.3">
      <c r="A61" s="78"/>
      <c r="B61" s="78"/>
      <c r="C61" s="78"/>
      <c r="D61" s="78"/>
      <c r="E61" s="78"/>
      <c r="F61" s="78"/>
      <c r="G61" s="78"/>
      <c r="H61" s="78"/>
      <c r="I61" s="78"/>
      <c r="J61" s="78"/>
      <c r="K61" s="78"/>
      <c r="L61" s="78"/>
      <c r="M61" s="78"/>
      <c r="N61" s="151"/>
      <c r="O61" s="151"/>
      <c r="P61" s="151"/>
      <c r="Q61" s="166"/>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ht="13" x14ac:dyDescent="0.3">
      <c r="A62" s="166" t="s">
        <v>92</v>
      </c>
      <c r="B62" s="78"/>
      <c r="C62" s="78"/>
      <c r="D62" s="78"/>
      <c r="E62" s="78"/>
      <c r="F62" s="78"/>
      <c r="G62" s="78"/>
      <c r="H62" s="78"/>
      <c r="I62" s="78"/>
      <c r="J62" s="78"/>
      <c r="K62" s="78"/>
      <c r="L62" s="78"/>
      <c r="M62" s="78"/>
      <c r="N62" s="78"/>
      <c r="O62" s="109">
        <f>IF(D17&lt;0,MIN(O25,O59),O25)</f>
        <v>10</v>
      </c>
      <c r="P62" s="151"/>
      <c r="Q62" s="166"/>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ht="13" x14ac:dyDescent="0.3">
      <c r="A63" s="166" t="s">
        <v>15</v>
      </c>
      <c r="B63" s="166"/>
      <c r="C63" s="166"/>
      <c r="D63" s="166"/>
      <c r="E63" s="166"/>
      <c r="F63" s="166"/>
      <c r="G63" s="166"/>
      <c r="H63" s="166"/>
      <c r="I63" s="78"/>
      <c r="J63" s="78"/>
      <c r="K63" s="78"/>
      <c r="L63" s="78"/>
      <c r="M63" s="78"/>
      <c r="N63" s="151"/>
      <c r="O63" s="151"/>
      <c r="P63" s="151"/>
      <c r="Q63" s="78"/>
      <c r="R63" s="107"/>
      <c r="S63" s="108"/>
      <c r="T63" s="109"/>
      <c r="U63" s="78"/>
      <c r="V63" s="110"/>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21" ht="13" x14ac:dyDescent="0.3">
      <c r="A64" s="148" t="s">
        <v>116</v>
      </c>
      <c r="B64" s="151"/>
      <c r="C64" s="151"/>
      <c r="D64" s="151"/>
      <c r="E64" s="151"/>
      <c r="F64" s="151"/>
      <c r="G64" s="151"/>
      <c r="H64" s="151"/>
      <c r="I64" s="151"/>
      <c r="J64" s="151"/>
      <c r="K64" s="151"/>
      <c r="L64" s="151"/>
      <c r="M64" s="151"/>
      <c r="N64" s="151"/>
      <c r="O64" s="190">
        <f>IF($D$17&lt;0,O59,IF(O59&gt;O62,O59,O62))</f>
        <v>17.88</v>
      </c>
      <c r="P64" s="160"/>
      <c r="Q64" s="78"/>
      <c r="R64" s="107"/>
      <c r="S64" s="108"/>
      <c r="T64" s="109"/>
      <c r="U64" s="78"/>
      <c r="V64" s="110"/>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36" ht="13" x14ac:dyDescent="0.3">
      <c r="A65" s="148"/>
      <c r="B65" s="151"/>
      <c r="C65" s="151"/>
      <c r="D65" s="151"/>
      <c r="E65" s="151"/>
      <c r="F65" s="151"/>
      <c r="G65" s="151"/>
      <c r="H65" s="151"/>
      <c r="I65" s="151"/>
      <c r="J65" s="151"/>
      <c r="K65" s="151"/>
      <c r="L65" s="151"/>
      <c r="M65" s="151"/>
      <c r="N65" s="151"/>
      <c r="O65" s="138"/>
      <c r="P65" s="160"/>
      <c r="Q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36" ht="13" x14ac:dyDescent="0.3">
      <c r="A66" s="148"/>
      <c r="B66" s="166"/>
      <c r="C66" s="166"/>
      <c r="D66" s="166"/>
      <c r="E66" s="166"/>
      <c r="F66" s="166"/>
      <c r="G66" s="166"/>
      <c r="H66" s="166"/>
      <c r="I66" s="166" t="s">
        <v>120</v>
      </c>
      <c r="J66" s="166"/>
      <c r="K66" s="166"/>
      <c r="L66" s="191"/>
      <c r="M66" s="191"/>
      <c r="N66" s="191"/>
      <c r="O66" s="191">
        <f>ROUND(IF($D$17&lt;1,0,O59/($D$17*100)*10000),2)</f>
        <v>0</v>
      </c>
      <c r="P66" s="37" t="s">
        <v>86</v>
      </c>
      <c r="Q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row>
    <row r="67" spans="1:236" ht="13" x14ac:dyDescent="0.3">
      <c r="A67" s="37"/>
      <c r="B67" s="78"/>
      <c r="C67" s="78"/>
      <c r="D67" s="78"/>
      <c r="E67" s="78"/>
      <c r="F67" s="78"/>
      <c r="G67" s="78"/>
      <c r="H67" s="192"/>
      <c r="I67" s="242" t="s">
        <v>199</v>
      </c>
      <c r="J67" s="78"/>
      <c r="K67" s="78"/>
      <c r="L67" s="78"/>
      <c r="M67" s="78"/>
      <c r="N67" s="78"/>
      <c r="O67" s="243">
        <f>ROUND(IF($D$17&lt;1,0,(L59)/($D$17*100)*10000),2)</f>
        <v>0</v>
      </c>
      <c r="P67" s="25" t="s">
        <v>86</v>
      </c>
      <c r="Q67" s="78"/>
      <c r="AE67" s="78"/>
      <c r="AF67" s="78"/>
      <c r="AG67" s="78"/>
      <c r="AH67" s="78"/>
      <c r="AI67" s="78"/>
      <c r="AJ67" s="78"/>
      <c r="AK67" s="78"/>
      <c r="AL67" s="78"/>
      <c r="AM67" s="78"/>
      <c r="AN67" s="78"/>
      <c r="AO67" s="78"/>
      <c r="AP67" s="78"/>
      <c r="AQ67" s="78"/>
      <c r="AR67" s="78"/>
      <c r="AS67" s="78"/>
      <c r="AT67" s="78"/>
      <c r="HE67" s="78"/>
      <c r="HF67" s="78"/>
      <c r="HG67" s="78"/>
      <c r="HH67" s="78"/>
      <c r="HI67" s="78"/>
      <c r="HJ67" s="78"/>
      <c r="HK67" s="78"/>
      <c r="HL67" s="78"/>
      <c r="HM67" s="78"/>
      <c r="HN67" s="78"/>
    </row>
    <row r="68" spans="1:236" ht="13" x14ac:dyDescent="0.3">
      <c r="A68" s="99"/>
      <c r="B68" s="78"/>
      <c r="C68" s="78"/>
      <c r="D68" s="100"/>
      <c r="E68" s="101"/>
      <c r="F68" s="106"/>
      <c r="G68" s="133"/>
      <c r="H68" s="56"/>
      <c r="I68" s="133"/>
      <c r="J68" s="25"/>
      <c r="K68" s="25"/>
      <c r="L68" s="134"/>
      <c r="M68" s="134"/>
      <c r="N68" s="134"/>
      <c r="O68" s="135"/>
      <c r="Q68" s="80"/>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row>
    <row r="69" spans="1:236" x14ac:dyDescent="0.25">
      <c r="A69" s="99"/>
      <c r="B69" s="78"/>
      <c r="C69" s="78"/>
      <c r="D69" s="100"/>
      <c r="E69" s="113"/>
      <c r="F69" s="106"/>
      <c r="Q69" s="80"/>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row>
    <row r="70" spans="1:236" x14ac:dyDescent="0.25">
      <c r="A70" s="78"/>
      <c r="D70" s="1"/>
      <c r="E70" s="35"/>
      <c r="F70" s="106"/>
      <c r="Q70" s="80"/>
    </row>
    <row r="71" spans="1:236" ht="13" x14ac:dyDescent="0.3">
      <c r="A71" s="96"/>
      <c r="D71" s="1"/>
      <c r="E71" s="35"/>
      <c r="F71" s="4"/>
      <c r="Q71" s="36"/>
    </row>
    <row r="72" spans="1:236" ht="13" x14ac:dyDescent="0.3">
      <c r="A72" s="96"/>
      <c r="D72" s="1"/>
      <c r="E72" s="35"/>
      <c r="F72" s="4"/>
      <c r="Q72" s="36"/>
    </row>
    <row r="73" spans="1:236" ht="13" x14ac:dyDescent="0.3">
      <c r="A73" s="41"/>
      <c r="B73" s="77"/>
      <c r="C73" s="77"/>
      <c r="D73" s="77"/>
      <c r="E73" s="77"/>
      <c r="F73" s="77"/>
    </row>
    <row r="74" spans="1:236" ht="13" x14ac:dyDescent="0.3">
      <c r="B74" s="37"/>
      <c r="C74" s="37"/>
      <c r="D74" s="37"/>
      <c r="E74" s="37"/>
      <c r="F74" s="37"/>
      <c r="P74" s="37"/>
      <c r="Q74" s="37"/>
    </row>
    <row r="75" spans="1:236" ht="13" x14ac:dyDescent="0.3">
      <c r="B75" s="37"/>
      <c r="C75" s="37"/>
      <c r="D75" s="37"/>
      <c r="E75" s="37"/>
      <c r="F75" s="37"/>
      <c r="P75" s="25"/>
      <c r="Q75" s="25"/>
    </row>
    <row r="78" spans="1:236" x14ac:dyDescent="0.25">
      <c r="A78" s="434"/>
    </row>
    <row r="79" spans="1:236" x14ac:dyDescent="0.25">
      <c r="A79" s="434"/>
    </row>
    <row r="80" spans="1:23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row r="89" spans="1:1" x14ac:dyDescent="0.25">
      <c r="A89" s="434"/>
    </row>
    <row r="90" spans="1:1" x14ac:dyDescent="0.25">
      <c r="A90" s="434"/>
    </row>
    <row r="91" spans="1:1" x14ac:dyDescent="0.25">
      <c r="A91" s="434"/>
    </row>
    <row r="92" spans="1:1" x14ac:dyDescent="0.25">
      <c r="A92" s="434"/>
    </row>
  </sheetData>
  <sheetProtection algorithmName="SHA-512" hashValue="h8CelU4ch6czeM1WReueg4uzMEM+wECwO4zSgtFPSoNRpRsadTbeNR2xntLPto8PsXmUPlRXQ3LSjL21Vzzu4Q==" saltValue="KjUNqz0XctWfMlW4c+sHqA==" spinCount="100000" sheet="1" objects="1" scenarios="1"/>
  <mergeCells count="8">
    <mergeCell ref="A78:A92"/>
    <mergeCell ref="A7:K7"/>
    <mergeCell ref="A1:P1"/>
    <mergeCell ref="A4:P4"/>
    <mergeCell ref="L23:O23"/>
    <mergeCell ref="G23:J23"/>
    <mergeCell ref="B6:O6"/>
    <mergeCell ref="A2:P3"/>
  </mergeCells>
  <phoneticPr fontId="0" type="noConversion"/>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21521" r:id="rId5" name="Button 17">
              <controlPr defaultSize="0" print="0" autoFill="0" autoPict="0" macro="[0]!Info">
                <anchor moveWithCells="1">
                  <from>
                    <xdr:col>16</xdr:col>
                    <xdr:colOff>393700</xdr:colOff>
                    <xdr:row>85</xdr:row>
                    <xdr:rowOff>38100</xdr:rowOff>
                  </from>
                  <to>
                    <xdr:col>30</xdr:col>
                    <xdr:colOff>165100</xdr:colOff>
                    <xdr:row>86</xdr:row>
                    <xdr:rowOff>88900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B67"/>
  <sheetViews>
    <sheetView showGridLines="0" zoomScale="80" zoomScaleNormal="80" workbookViewId="0">
      <selection activeCell="C14" sqref="C14"/>
    </sheetView>
  </sheetViews>
  <sheetFormatPr defaultRowHeight="12.5" x14ac:dyDescent="0.25"/>
  <cols>
    <col min="1" max="1" width="39" customWidth="1"/>
    <col min="2" max="2" width="2.1796875" customWidth="1"/>
    <col min="3" max="3" width="13" customWidth="1"/>
    <col min="4" max="4" width="15.26953125" customWidth="1"/>
    <col min="5" max="5" width="10.453125" customWidth="1"/>
    <col min="6" max="6" width="5.54296875" customWidth="1"/>
    <col min="7" max="8" width="13.26953125" customWidth="1"/>
    <col min="9" max="9" width="14.54296875" customWidth="1"/>
    <col min="10" max="10" width="13.26953125" customWidth="1"/>
    <col min="11" max="11" width="5.54296875" bestFit="1" customWidth="1"/>
    <col min="12" max="12" width="15.1796875" customWidth="1"/>
    <col min="13" max="13" width="17.26953125" bestFit="1" customWidth="1"/>
    <col min="14" max="14" width="17.7265625" customWidth="1"/>
    <col min="15" max="15" width="18.7265625" customWidth="1"/>
    <col min="16" max="16" width="15" customWidth="1"/>
    <col min="17" max="17" width="12.81640625" bestFit="1" customWidth="1"/>
    <col min="18" max="18" width="10.542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c r="Q1" s="203"/>
    </row>
    <row r="2" spans="1:30" ht="20" x14ac:dyDescent="0.4">
      <c r="A2" s="452" t="s">
        <v>255</v>
      </c>
      <c r="B2" s="452"/>
      <c r="C2" s="452"/>
      <c r="D2" s="452"/>
      <c r="E2" s="452"/>
      <c r="F2" s="452"/>
      <c r="G2" s="452"/>
      <c r="H2" s="452"/>
      <c r="I2" s="452"/>
      <c r="J2" s="452"/>
      <c r="K2" s="452"/>
      <c r="L2" s="452"/>
      <c r="M2" s="452"/>
      <c r="N2" s="452"/>
      <c r="O2" s="452"/>
      <c r="P2" s="452"/>
      <c r="Q2" s="197"/>
    </row>
    <row r="3" spans="1:30" ht="18" x14ac:dyDescent="0.4">
      <c r="A3" s="437" t="s">
        <v>94</v>
      </c>
      <c r="B3" s="437"/>
      <c r="C3" s="437"/>
      <c r="D3" s="437"/>
      <c r="E3" s="437"/>
      <c r="F3" s="437"/>
      <c r="G3" s="437"/>
      <c r="H3" s="437"/>
      <c r="I3" s="437"/>
      <c r="J3" s="437"/>
      <c r="K3" s="437"/>
      <c r="L3" s="437"/>
      <c r="M3" s="437"/>
      <c r="N3" s="437"/>
      <c r="O3" s="437"/>
      <c r="P3" s="437"/>
      <c r="Q3" s="198"/>
    </row>
    <row r="4" spans="1:30" ht="15.5" x14ac:dyDescent="0.35">
      <c r="A4" s="437"/>
      <c r="B4" s="437"/>
      <c r="C4" s="437"/>
      <c r="D4" s="437"/>
      <c r="E4" s="437"/>
      <c r="F4" s="437"/>
      <c r="G4" s="437"/>
      <c r="H4" s="437"/>
      <c r="I4" s="437"/>
      <c r="J4" s="437"/>
      <c r="K4" s="437"/>
      <c r="L4" s="437"/>
      <c r="M4" s="437"/>
      <c r="N4" s="437"/>
      <c r="O4" s="437"/>
      <c r="P4" s="437"/>
      <c r="Q4" s="199"/>
    </row>
    <row r="5" spans="1:30" x14ac:dyDescent="0.25">
      <c r="A5" s="288">
        <f ca="1">TODAY()</f>
        <v>45378</v>
      </c>
      <c r="B5" s="444" t="s">
        <v>257</v>
      </c>
      <c r="C5" s="444"/>
      <c r="D5" s="444"/>
      <c r="E5" s="444"/>
      <c r="F5" s="444"/>
      <c r="G5" s="444"/>
      <c r="H5" s="444"/>
      <c r="I5" s="444"/>
      <c r="J5" s="444"/>
      <c r="K5" s="444"/>
      <c r="L5" s="444"/>
      <c r="M5" s="444"/>
      <c r="N5" s="444"/>
      <c r="O5" s="444"/>
    </row>
    <row r="6" spans="1:30" x14ac:dyDescent="0.25">
      <c r="A6" s="435" t="s">
        <v>15</v>
      </c>
      <c r="B6" s="435"/>
      <c r="C6" s="435"/>
      <c r="D6" s="435"/>
      <c r="E6" s="435"/>
      <c r="F6" s="435"/>
      <c r="G6" s="435"/>
      <c r="H6" s="435"/>
      <c r="I6" s="435"/>
      <c r="J6" s="435"/>
      <c r="K6" s="435"/>
    </row>
    <row r="7" spans="1:30" x14ac:dyDescent="0.25">
      <c r="C7" s="18"/>
      <c r="D7" s="18"/>
      <c r="E7" s="18"/>
      <c r="F7" s="18"/>
      <c r="G7" s="18"/>
      <c r="H7" s="18"/>
      <c r="I7" s="18"/>
      <c r="J7" s="18"/>
      <c r="K7" s="18"/>
    </row>
    <row r="8" spans="1:30" ht="15.5" x14ac:dyDescent="0.35">
      <c r="A8" s="23" t="s">
        <v>2</v>
      </c>
      <c r="B8" s="24"/>
      <c r="C8" s="25">
        <f>'Customer Info'!B7</f>
        <v>0</v>
      </c>
      <c r="I8" s="26"/>
    </row>
    <row r="9" spans="1:30" ht="15.5" x14ac:dyDescent="0.35">
      <c r="A9" s="27" t="s">
        <v>26</v>
      </c>
      <c r="B9" s="24"/>
      <c r="C9" s="25">
        <f>'Customer Info'!B8</f>
        <v>0</v>
      </c>
    </row>
    <row r="10" spans="1:30" ht="13" x14ac:dyDescent="0.3">
      <c r="A10" s="23" t="s">
        <v>3</v>
      </c>
      <c r="B10" s="200">
        <f>'Customer Info'!B9</f>
        <v>4</v>
      </c>
      <c r="C10" s="194" t="str">
        <f>LOOKUP(B10,S11:AD11,S12:AD12)</f>
        <v>April</v>
      </c>
      <c r="D10" s="133">
        <f>'Customer Info'!C9</f>
        <v>2024</v>
      </c>
    </row>
    <row r="11" spans="1:30" ht="13" x14ac:dyDescent="0.3">
      <c r="A11" s="446"/>
      <c r="B11" s="446"/>
      <c r="C11" s="446"/>
      <c r="D11" s="446"/>
      <c r="E11" s="446"/>
      <c r="F11" s="446"/>
      <c r="G11" s="446"/>
      <c r="H11" s="446"/>
      <c r="I11" s="446"/>
      <c r="J11" s="94"/>
      <c r="K11" s="94"/>
      <c r="L11" s="94"/>
      <c r="M11" s="94"/>
      <c r="N11" s="94"/>
      <c r="O11" s="94"/>
      <c r="P11" s="94"/>
      <c r="S11">
        <v>1</v>
      </c>
      <c r="T11">
        <v>2</v>
      </c>
      <c r="U11">
        <v>3</v>
      </c>
      <c r="V11">
        <v>4</v>
      </c>
      <c r="W11">
        <v>5</v>
      </c>
      <c r="X11">
        <v>6</v>
      </c>
      <c r="Y11">
        <v>7</v>
      </c>
      <c r="Z11">
        <v>8</v>
      </c>
      <c r="AA11">
        <v>9</v>
      </c>
      <c r="AB11">
        <v>10</v>
      </c>
      <c r="AC11">
        <v>11</v>
      </c>
      <c r="AD11">
        <v>12</v>
      </c>
    </row>
    <row r="12" spans="1:30" ht="13" x14ac:dyDescent="0.3">
      <c r="A12" s="97" t="s">
        <v>27</v>
      </c>
      <c r="B12" s="18"/>
      <c r="C12" s="18"/>
      <c r="D12" s="18"/>
      <c r="E12" s="18"/>
      <c r="F12" s="18"/>
      <c r="G12" s="18"/>
      <c r="H12" s="18"/>
      <c r="I12" s="1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x14ac:dyDescent="0.25">
      <c r="A13" s="18"/>
      <c r="B13" s="18"/>
      <c r="C13" s="18"/>
      <c r="D13" s="18"/>
      <c r="E13" s="18"/>
      <c r="F13" s="18"/>
      <c r="G13" s="18"/>
      <c r="H13" s="18"/>
      <c r="I13" s="18"/>
      <c r="R13" s="78" t="s">
        <v>117</v>
      </c>
      <c r="S13" s="193">
        <v>1.8274700000000001E-2</v>
      </c>
      <c r="T13" s="193">
        <v>1.8274700000000001E-2</v>
      </c>
      <c r="U13" s="193">
        <v>1.8274700000000001E-2</v>
      </c>
      <c r="V13" s="193">
        <v>1.8274700000000001E-2</v>
      </c>
      <c r="W13" s="193">
        <v>1.8274700000000001E-2</v>
      </c>
      <c r="X13" s="193">
        <v>1.8274700000000001E-2</v>
      </c>
      <c r="Y13" s="193">
        <v>1.8274700000000001E-2</v>
      </c>
      <c r="Z13" s="193">
        <v>1.8274700000000001E-2</v>
      </c>
      <c r="AA13" s="193">
        <v>1.8274700000000001E-2</v>
      </c>
      <c r="AB13" s="193">
        <v>1.8274700000000001E-2</v>
      </c>
      <c r="AC13" s="193">
        <v>1.8274700000000001E-2</v>
      </c>
      <c r="AD13" s="193">
        <v>1.8274700000000001E-2</v>
      </c>
    </row>
    <row r="14" spans="1:30" x14ac:dyDescent="0.25">
      <c r="A14" s="153" t="s">
        <v>51</v>
      </c>
      <c r="B14" s="31"/>
      <c r="C14" s="32">
        <f>IF('Customer Info'!B21+'Customer Info'!B22-'Customer Info'!B23&lt;0,0,'Customer Info'!B21+'Customer Info'!B22-'Customer Info'!B23)</f>
        <v>0</v>
      </c>
      <c r="D14" s="31" t="s">
        <v>41</v>
      </c>
      <c r="E14" s="31"/>
      <c r="F14" s="33"/>
      <c r="G14" s="31"/>
      <c r="H14" s="31"/>
      <c r="I14" s="31"/>
      <c r="R14" s="78" t="s">
        <v>118</v>
      </c>
      <c r="S14" s="193">
        <v>1.8274700000000001E-2</v>
      </c>
      <c r="T14" s="193">
        <v>1.8274700000000001E-2</v>
      </c>
      <c r="U14" s="193">
        <v>1.8274700000000001E-2</v>
      </c>
      <c r="V14" s="193">
        <v>1.8274700000000001E-2</v>
      </c>
      <c r="W14" s="193">
        <v>1.8274700000000001E-2</v>
      </c>
      <c r="X14" s="193">
        <v>1.8274700000000001E-2</v>
      </c>
      <c r="Y14" s="193">
        <v>1.8274700000000001E-2</v>
      </c>
      <c r="Z14" s="193">
        <v>1.8274700000000001E-2</v>
      </c>
      <c r="AA14" s="193">
        <v>1.8274700000000001E-2</v>
      </c>
      <c r="AB14" s="193">
        <v>1.8274700000000001E-2</v>
      </c>
      <c r="AC14" s="193">
        <v>1.8274700000000001E-2</v>
      </c>
      <c r="AD14" s="193">
        <v>1.8274700000000001E-2</v>
      </c>
    </row>
    <row r="15" spans="1:30" ht="13" x14ac:dyDescent="0.3">
      <c r="A15" s="31"/>
      <c r="B15" s="31"/>
      <c r="C15" s="33"/>
      <c r="D15" s="33"/>
      <c r="E15" s="33"/>
      <c r="F15" s="33"/>
      <c r="G15" s="23"/>
      <c r="H15" s="31"/>
      <c r="I15" s="31"/>
      <c r="R15" t="s">
        <v>166</v>
      </c>
      <c r="S15" s="222">
        <f>'Rider Rates'!$C$29</f>
        <v>5.3820999999999999E-3</v>
      </c>
      <c r="T15" s="222">
        <f>'Rider Rates'!$C$29</f>
        <v>5.3820999999999999E-3</v>
      </c>
      <c r="U15" s="222">
        <f>'Rider Rates'!$C$29</f>
        <v>5.3820999999999999E-3</v>
      </c>
      <c r="V15" s="222">
        <f>'Rider Rates'!$C$29</f>
        <v>5.3820999999999999E-3</v>
      </c>
      <c r="W15" s="222">
        <f>'Rider Rates'!$C$29</f>
        <v>5.3820999999999999E-3</v>
      </c>
      <c r="X15" s="222">
        <f>'Rider Rates'!$B$29</f>
        <v>5.3820999999999999E-3</v>
      </c>
      <c r="Y15" s="222">
        <f>'Rider Rates'!$B$29</f>
        <v>5.3820999999999999E-3</v>
      </c>
      <c r="Z15" s="222">
        <f>'Rider Rates'!$B$29</f>
        <v>5.3820999999999999E-3</v>
      </c>
      <c r="AA15" s="222">
        <f>'Rider Rates'!$B$29</f>
        <v>5.3820999999999999E-3</v>
      </c>
      <c r="AB15" s="222">
        <f>'Rider Rates'!$C$29</f>
        <v>5.3820999999999999E-3</v>
      </c>
      <c r="AC15" s="222">
        <f>'Rider Rates'!$C$29</f>
        <v>5.3820999999999999E-3</v>
      </c>
      <c r="AD15" s="222">
        <f>'Rider Rates'!$C$29</f>
        <v>5.3820999999999999E-3</v>
      </c>
    </row>
    <row r="16" spans="1:30" ht="13" x14ac:dyDescent="0.3">
      <c r="A16" s="28" t="s">
        <v>124</v>
      </c>
      <c r="B16" s="22"/>
      <c r="C16" s="22"/>
      <c r="D16" s="22"/>
      <c r="E16" s="22"/>
      <c r="F16" s="22"/>
      <c r="G16" s="447" t="s">
        <v>67</v>
      </c>
      <c r="H16" s="448"/>
      <c r="I16" s="448"/>
      <c r="J16" s="449"/>
      <c r="K16" s="22"/>
      <c r="L16" s="450" t="s">
        <v>68</v>
      </c>
      <c r="M16" s="450"/>
      <c r="N16" s="450"/>
      <c r="O16" s="450"/>
      <c r="R16" t="s">
        <v>167</v>
      </c>
      <c r="S16" s="222">
        <f>'Rider Rates'!$C$30</f>
        <v>2.9126E-3</v>
      </c>
      <c r="T16" s="222">
        <f>'Rider Rates'!$C$30</f>
        <v>2.9126E-3</v>
      </c>
      <c r="U16" s="222">
        <f>'Rider Rates'!$C$30</f>
        <v>2.9126E-3</v>
      </c>
      <c r="V16" s="222">
        <f>'Rider Rates'!$C$30</f>
        <v>2.9126E-3</v>
      </c>
      <c r="W16" s="222">
        <f>'Rider Rates'!$C$30</f>
        <v>2.9126E-3</v>
      </c>
      <c r="X16" s="222">
        <f>'Rider Rates'!$B$30</f>
        <v>5.1126000000000001E-3</v>
      </c>
      <c r="Y16" s="222">
        <f>'Rider Rates'!$B$30</f>
        <v>5.1126000000000001E-3</v>
      </c>
      <c r="Z16" s="222">
        <f>'Rider Rates'!$B$30</f>
        <v>5.1126000000000001E-3</v>
      </c>
      <c r="AA16" s="222">
        <f>'Rider Rates'!$B$30</f>
        <v>5.1126000000000001E-3</v>
      </c>
      <c r="AB16" s="222">
        <f>'Rider Rates'!$C$30</f>
        <v>2.9126E-3</v>
      </c>
      <c r="AC16" s="222">
        <f>'Rider Rates'!$C$30</f>
        <v>2.9126E-3</v>
      </c>
      <c r="AD16" s="222">
        <f>'Rider Rates'!$C$30</f>
        <v>2.9126E-3</v>
      </c>
    </row>
    <row r="17" spans="1:221" ht="13" x14ac:dyDescent="0.3">
      <c r="A17" s="18"/>
      <c r="B17" s="18"/>
      <c r="C17" s="18"/>
      <c r="D17" s="18"/>
      <c r="E17" s="18"/>
      <c r="F17" s="18"/>
      <c r="G17" s="8" t="s">
        <v>64</v>
      </c>
      <c r="H17" s="8" t="s">
        <v>65</v>
      </c>
      <c r="I17" s="8" t="s">
        <v>66</v>
      </c>
      <c r="J17" s="112" t="s">
        <v>34</v>
      </c>
      <c r="K17" s="18"/>
      <c r="L17" s="289" t="s">
        <v>64</v>
      </c>
      <c r="M17" s="289" t="s">
        <v>65</v>
      </c>
      <c r="N17" s="289" t="s">
        <v>66</v>
      </c>
      <c r="O17" s="132" t="s">
        <v>34</v>
      </c>
      <c r="P17" s="43" t="s">
        <v>56</v>
      </c>
      <c r="R17" t="s">
        <v>168</v>
      </c>
      <c r="S17" s="222">
        <f>'Rider Rates'!$C$31</f>
        <v>3.4062999999999997E-3</v>
      </c>
      <c r="T17" s="222">
        <f>'Rider Rates'!$C$31</f>
        <v>3.4062999999999997E-3</v>
      </c>
      <c r="U17" s="222">
        <f>'Rider Rates'!$C$31</f>
        <v>3.4062999999999997E-3</v>
      </c>
      <c r="V17" s="222">
        <f>'Rider Rates'!$C$31</f>
        <v>3.4062999999999997E-3</v>
      </c>
      <c r="W17" s="222">
        <f>'Rider Rates'!$C$31</f>
        <v>3.4062999999999997E-3</v>
      </c>
      <c r="X17" s="222">
        <f>'Rider Rates'!$B$31</f>
        <v>4.7838000000000004E-3</v>
      </c>
      <c r="Y17" s="222">
        <f>'Rider Rates'!$B$31</f>
        <v>4.7838000000000004E-3</v>
      </c>
      <c r="Z17" s="222">
        <f>'Rider Rates'!$B$31</f>
        <v>4.7838000000000004E-3</v>
      </c>
      <c r="AA17" s="222">
        <f>'Rider Rates'!$B$31</f>
        <v>4.7838000000000004E-3</v>
      </c>
      <c r="AB17" s="222">
        <f>'Rider Rates'!$C$31</f>
        <v>3.4062999999999997E-3</v>
      </c>
      <c r="AC17" s="222">
        <f>'Rider Rates'!$C$31</f>
        <v>3.4062999999999997E-3</v>
      </c>
      <c r="AD17" s="222">
        <f>'Rider Rates'!$C$31</f>
        <v>3.4062999999999997E-3</v>
      </c>
    </row>
    <row r="18" spans="1:221" x14ac:dyDescent="0.25">
      <c r="A18" t="s">
        <v>32</v>
      </c>
      <c r="G18" s="83"/>
      <c r="H18" s="83"/>
      <c r="I18" s="125">
        <v>10</v>
      </c>
      <c r="J18" s="125">
        <f>SUM(G18:I18)</f>
        <v>10</v>
      </c>
      <c r="L18" s="125"/>
      <c r="M18" s="125"/>
      <c r="N18" s="125">
        <f>I18</f>
        <v>10</v>
      </c>
      <c r="O18" s="125">
        <f>+SUM(L18:N18)</f>
        <v>10</v>
      </c>
      <c r="P18" s="245">
        <v>44531</v>
      </c>
      <c r="R18" s="3" t="s">
        <v>200</v>
      </c>
      <c r="S18">
        <f>'Rider Rates'!$C$21</f>
        <v>0.10589</v>
      </c>
      <c r="T18">
        <f>'Rider Rates'!$C$21</f>
        <v>0.10589</v>
      </c>
      <c r="U18">
        <f>'Rider Rates'!$C$21</f>
        <v>0.10589</v>
      </c>
      <c r="V18">
        <f>'Rider Rates'!$C$21</f>
        <v>0.10589</v>
      </c>
      <c r="W18">
        <f>'Rider Rates'!$C$21</f>
        <v>0.10589</v>
      </c>
      <c r="X18">
        <f>'Rider Rates'!$B$21</f>
        <v>0.10589</v>
      </c>
      <c r="Y18">
        <f>'Rider Rates'!$B$21</f>
        <v>0.10589</v>
      </c>
      <c r="Z18">
        <f>'Rider Rates'!$B$21</f>
        <v>0.10589</v>
      </c>
      <c r="AA18">
        <f>'Rider Rates'!$B$21</f>
        <v>0.10589</v>
      </c>
      <c r="AB18">
        <f>'Rider Rates'!$C$21</f>
        <v>0.10589</v>
      </c>
      <c r="AC18">
        <f>'Rider Rates'!$C$21</f>
        <v>0.10589</v>
      </c>
      <c r="AD18">
        <f>'Rider Rates'!$C$21</f>
        <v>0.10589</v>
      </c>
    </row>
    <row r="19" spans="1:221" x14ac:dyDescent="0.25">
      <c r="A19" s="78" t="s">
        <v>186</v>
      </c>
      <c r="B19" s="18"/>
      <c r="C19" s="18"/>
      <c r="D19" s="1">
        <f>MAX($C$14,0)</f>
        <v>0</v>
      </c>
      <c r="E19" s="124" t="s">
        <v>41</v>
      </c>
      <c r="F19" s="290" t="s">
        <v>8</v>
      </c>
      <c r="G19" s="165"/>
      <c r="H19" s="83"/>
      <c r="I19" s="165">
        <v>2.6312499999999999E-2</v>
      </c>
      <c r="J19" s="126">
        <f>SUM(G19:I19)</f>
        <v>2.6312499999999999E-2</v>
      </c>
      <c r="K19" t="s">
        <v>42</v>
      </c>
      <c r="L19" s="125"/>
      <c r="M19" s="125"/>
      <c r="N19" s="125">
        <f>IF($C$14&lt;0,0,ROUND($D19*I19,2))</f>
        <v>0</v>
      </c>
      <c r="O19" s="125">
        <f>+SUM(L19:N19)</f>
        <v>0</v>
      </c>
      <c r="P19" s="245">
        <v>44531</v>
      </c>
      <c r="R19" s="3"/>
    </row>
    <row r="20" spans="1:221" ht="13" x14ac:dyDescent="0.3">
      <c r="A20" s="96" t="s">
        <v>74</v>
      </c>
      <c r="B20" s="37"/>
      <c r="C20" s="37"/>
      <c r="D20" s="38"/>
      <c r="E20" s="38"/>
      <c r="F20" s="37"/>
      <c r="G20" s="37"/>
      <c r="I20" s="40"/>
      <c r="K20" s="39"/>
      <c r="L20" s="95"/>
      <c r="M20" s="54"/>
      <c r="N20" s="95">
        <f>SUM(N18:N19)</f>
        <v>10</v>
      </c>
      <c r="O20" s="95">
        <f>SUM(O18:O19)</f>
        <v>10</v>
      </c>
      <c r="R20" s="107"/>
      <c r="S20" s="108"/>
      <c r="T20" s="109"/>
      <c r="U20" s="78"/>
      <c r="V20" s="110"/>
      <c r="W20" s="78"/>
      <c r="X20" s="78"/>
      <c r="Y20" s="78"/>
      <c r="Z20" s="78"/>
      <c r="AA20" s="78"/>
      <c r="AB20" s="78"/>
      <c r="AC20" s="78"/>
      <c r="AD20" s="78"/>
    </row>
    <row r="21" spans="1:221" ht="13" x14ac:dyDescent="0.3">
      <c r="A21" s="170"/>
      <c r="B21" s="170"/>
      <c r="C21" s="170"/>
      <c r="D21" s="171"/>
      <c r="E21" s="171"/>
      <c r="F21" s="170"/>
      <c r="G21" s="171"/>
      <c r="H21" s="171"/>
      <c r="I21" s="171"/>
      <c r="J21" s="171"/>
      <c r="K21" s="172"/>
      <c r="L21" s="171"/>
      <c r="M21" s="171"/>
      <c r="N21" s="171"/>
      <c r="O21" s="171"/>
      <c r="P21" s="171"/>
      <c r="R21" s="107"/>
      <c r="S21" s="108"/>
      <c r="T21" s="109"/>
      <c r="U21" s="78"/>
      <c r="V21" s="110"/>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ht="13" x14ac:dyDescent="0.3">
      <c r="A22" s="148" t="s">
        <v>69</v>
      </c>
      <c r="B22" s="166"/>
      <c r="C22" s="166"/>
      <c r="D22" s="167"/>
      <c r="E22" s="167"/>
      <c r="F22" s="166"/>
      <c r="G22" s="167"/>
      <c r="H22" s="167"/>
      <c r="I22" s="167"/>
      <c r="J22" s="167"/>
      <c r="K22" s="167"/>
      <c r="L22" s="167"/>
      <c r="M22" s="167"/>
      <c r="N22" s="167"/>
      <c r="O22" s="167"/>
      <c r="P22" s="167"/>
      <c r="R22" s="107"/>
      <c r="S22" s="108"/>
      <c r="T22" s="109"/>
      <c r="U22" s="78"/>
      <c r="V22" s="110"/>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row>
    <row r="23" spans="1:221" x14ac:dyDescent="0.25">
      <c r="A23" s="151"/>
      <c r="B23" s="151"/>
      <c r="C23" s="151"/>
      <c r="D23" s="151"/>
      <c r="E23" s="151"/>
      <c r="F23" s="151"/>
      <c r="G23" s="151"/>
      <c r="H23" s="151"/>
      <c r="I23" s="151"/>
      <c r="J23" s="151"/>
      <c r="K23" s="151"/>
      <c r="L23" s="151"/>
      <c r="M23" s="151"/>
      <c r="N23" s="151"/>
      <c r="O23" s="151"/>
      <c r="P23" s="106"/>
      <c r="R23" s="107"/>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5">
      <c r="A24" s="99" t="s">
        <v>78</v>
      </c>
      <c r="B24" s="176"/>
      <c r="C24" s="176"/>
      <c r="D24" s="100">
        <f>IF($C$14&lt;0,0,IF($C$14&gt;833000,833000,$C$14))</f>
        <v>0</v>
      </c>
      <c r="E24" s="101" t="s">
        <v>41</v>
      </c>
      <c r="F24" s="102" t="s">
        <v>8</v>
      </c>
      <c r="G24" s="103"/>
      <c r="H24" s="103"/>
      <c r="I24" s="103">
        <f>'Rider Rates'!$B$4</f>
        <v>5.9216E-3</v>
      </c>
      <c r="J24" s="201">
        <f t="shared" ref="J24:J45" si="0">SUM(G24:I24)</f>
        <v>5.9216E-3</v>
      </c>
      <c r="K24" s="104" t="s">
        <v>42</v>
      </c>
      <c r="L24" s="105"/>
      <c r="M24" s="105"/>
      <c r="N24" s="105">
        <f t="shared" ref="N24:N29" si="1">ROUND(D24*I24,2)</f>
        <v>0</v>
      </c>
      <c r="O24" s="105">
        <f t="shared" ref="O24:O37" si="2">SUM(L24:N24)</f>
        <v>0</v>
      </c>
      <c r="P24" s="245">
        <f>'Rider Rates'!$D$4</f>
        <v>45293</v>
      </c>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5">
      <c r="A25" s="99" t="s">
        <v>79</v>
      </c>
      <c r="B25" s="78"/>
      <c r="C25" s="78"/>
      <c r="D25" s="123">
        <f>IF($C$14&gt;833000,$C$14-833000,0)</f>
        <v>0</v>
      </c>
      <c r="E25" s="101" t="s">
        <v>41</v>
      </c>
      <c r="F25" s="102" t="s">
        <v>8</v>
      </c>
      <c r="G25" s="103"/>
      <c r="H25" s="103"/>
      <c r="I25" s="103">
        <f>'Rider Rates'!$B$5</f>
        <v>1.7560000000000001E-4</v>
      </c>
      <c r="J25" s="201">
        <f t="shared" si="0"/>
        <v>1.7560000000000001E-4</v>
      </c>
      <c r="K25" s="104" t="s">
        <v>42</v>
      </c>
      <c r="L25" s="105"/>
      <c r="M25" s="105"/>
      <c r="N25" s="105">
        <f t="shared" si="1"/>
        <v>0</v>
      </c>
      <c r="O25" s="105">
        <f t="shared" si="2"/>
        <v>0</v>
      </c>
      <c r="P25" s="245">
        <f>'Rider Rates'!$D$4</f>
        <v>45293</v>
      </c>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99" t="s">
        <v>96</v>
      </c>
      <c r="B26" s="78"/>
      <c r="C26" s="78"/>
      <c r="D26" s="100">
        <f>IF($C$14&lt;0,0,IF($C$14&gt;2000,2000,$C$14))</f>
        <v>0</v>
      </c>
      <c r="E26" s="101" t="s">
        <v>41</v>
      </c>
      <c r="F26" s="102" t="s">
        <v>8</v>
      </c>
      <c r="G26" s="103"/>
      <c r="H26" s="103"/>
      <c r="I26" s="177">
        <f>'Rider Rates'!$B$8</f>
        <v>4.6499999999999996E-3</v>
      </c>
      <c r="J26" s="177">
        <f t="shared" si="0"/>
        <v>4.6499999999999996E-3</v>
      </c>
      <c r="K26" s="104" t="s">
        <v>42</v>
      </c>
      <c r="L26" s="105"/>
      <c r="M26" s="105"/>
      <c r="N26" s="105">
        <f t="shared" si="1"/>
        <v>0</v>
      </c>
      <c r="O26" s="105">
        <f t="shared" si="2"/>
        <v>0</v>
      </c>
      <c r="P26" s="245">
        <f>'Rider Rates'!$D$7</f>
        <v>44531</v>
      </c>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97</v>
      </c>
      <c r="B27" s="78"/>
      <c r="C27" s="78"/>
      <c r="D27" s="100">
        <f>IF($C$14&lt;=2000,0,IF($C$14=0,0,IF($C$14-2000&gt;13000,13000,$C$14-2000)))</f>
        <v>0</v>
      </c>
      <c r="E27" s="101" t="s">
        <v>41</v>
      </c>
      <c r="F27" s="102" t="s">
        <v>8</v>
      </c>
      <c r="G27" s="103"/>
      <c r="H27" s="103"/>
      <c r="I27" s="177">
        <f>'Rider Rates'!$B$9</f>
        <v>4.1900000000000001E-3</v>
      </c>
      <c r="J27" s="177">
        <f t="shared" si="0"/>
        <v>4.1900000000000001E-3</v>
      </c>
      <c r="K27" s="104" t="s">
        <v>42</v>
      </c>
      <c r="L27" s="105"/>
      <c r="M27" s="105"/>
      <c r="N27" s="105">
        <f t="shared" si="1"/>
        <v>0</v>
      </c>
      <c r="O27" s="105">
        <f t="shared" si="2"/>
        <v>0</v>
      </c>
      <c r="P27" s="245">
        <f>'Rider Rates'!$D$7</f>
        <v>44531</v>
      </c>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98</v>
      </c>
      <c r="B28" s="78"/>
      <c r="C28" s="78"/>
      <c r="D28" s="100">
        <f>IF($C$14=0,0,IF($C$14-15000&gt;=0,$C$14-15000,0))</f>
        <v>0</v>
      </c>
      <c r="E28" s="101" t="s">
        <v>41</v>
      </c>
      <c r="F28" s="102" t="s">
        <v>8</v>
      </c>
      <c r="G28" s="103"/>
      <c r="H28" s="103"/>
      <c r="I28" s="177">
        <f>'Rider Rates'!$B$10</f>
        <v>3.63E-3</v>
      </c>
      <c r="J28" s="177">
        <f t="shared" si="0"/>
        <v>3.63E-3</v>
      </c>
      <c r="K28" s="104" t="s">
        <v>42</v>
      </c>
      <c r="L28" s="105"/>
      <c r="M28" s="105"/>
      <c r="N28" s="105">
        <f t="shared" si="1"/>
        <v>0</v>
      </c>
      <c r="O28" s="105">
        <f t="shared" si="2"/>
        <v>0</v>
      </c>
      <c r="P28" s="245">
        <f>'Rider Rates'!$D$7</f>
        <v>44531</v>
      </c>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210" t="s">
        <v>160</v>
      </c>
      <c r="B29" s="78"/>
      <c r="C29" s="78"/>
      <c r="D29" s="100">
        <f>IF($C$14&lt;0,0,$C$14)</f>
        <v>0</v>
      </c>
      <c r="E29" s="101" t="s">
        <v>41</v>
      </c>
      <c r="F29" s="102" t="s">
        <v>8</v>
      </c>
      <c r="G29" s="103"/>
      <c r="H29" s="103"/>
      <c r="I29" s="103">
        <f>'Rider Rates'!B15</f>
        <v>0</v>
      </c>
      <c r="J29" s="103">
        <f>SUM(G29:I29)</f>
        <v>0</v>
      </c>
      <c r="K29" s="104" t="s">
        <v>42</v>
      </c>
      <c r="L29" s="105"/>
      <c r="M29" s="105"/>
      <c r="N29" s="105">
        <f t="shared" si="1"/>
        <v>0</v>
      </c>
      <c r="O29" s="105">
        <f t="shared" si="2"/>
        <v>0</v>
      </c>
      <c r="P29" s="245">
        <f>'Rider Rates'!$D$15</f>
        <v>45167</v>
      </c>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ht="13" x14ac:dyDescent="0.3">
      <c r="A30" s="241" t="s">
        <v>247</v>
      </c>
      <c r="B30" s="78"/>
      <c r="C30" s="78"/>
      <c r="D30" s="292">
        <f>$N$20</f>
        <v>10</v>
      </c>
      <c r="E30" s="101" t="s">
        <v>121</v>
      </c>
      <c r="F30" s="102" t="s">
        <v>8</v>
      </c>
      <c r="G30" s="103"/>
      <c r="H30" s="103"/>
      <c r="I30" s="178">
        <f>'Rider Rates'!$B$18</f>
        <v>0</v>
      </c>
      <c r="J30" s="178">
        <f>SUM(G30:I30)</f>
        <v>0</v>
      </c>
      <c r="K30" s="104"/>
      <c r="L30" s="105"/>
      <c r="M30" s="105"/>
      <c r="N30" s="105">
        <f>ROUND($D$30*'Rider Rates'!$B$18,2)+ROUND($D$30*'Rider Rates'!$E$18,2)</f>
        <v>0</v>
      </c>
      <c r="O30" s="105">
        <f t="shared" si="2"/>
        <v>0</v>
      </c>
      <c r="P30" s="245">
        <f>MAX('Rider Rates'!$D$18,'Rider Rates'!$F$18)</f>
        <v>44531</v>
      </c>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210" t="s">
        <v>201</v>
      </c>
      <c r="B31" s="78"/>
      <c r="C31" s="78"/>
      <c r="D31" s="100">
        <f>'Customer Info'!$B$21+'Customer Info'!$B$22-'Customer Info'!$B$23</f>
        <v>0</v>
      </c>
      <c r="E31" s="101" t="s">
        <v>41</v>
      </c>
      <c r="F31" s="102" t="s">
        <v>8</v>
      </c>
      <c r="G31" s="103">
        <f>LOOKUP($B$10,$S$11:$AD$11,S18:AD18)</f>
        <v>0.10589</v>
      </c>
      <c r="H31" s="103"/>
      <c r="I31" s="103"/>
      <c r="J31" s="237">
        <f>SUM(G31:H31)</f>
        <v>0.10589</v>
      </c>
      <c r="K31" s="104" t="s">
        <v>42</v>
      </c>
      <c r="L31" s="105">
        <f>ROUND(D31*G31,2)</f>
        <v>0</v>
      </c>
      <c r="M31" s="105"/>
      <c r="N31" s="105"/>
      <c r="O31" s="105">
        <f t="shared" si="2"/>
        <v>0</v>
      </c>
      <c r="P31" s="245">
        <f>'Rider Rates'!$D$29</f>
        <v>45078</v>
      </c>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41" t="s">
        <v>174</v>
      </c>
      <c r="B32" s="78"/>
      <c r="C32" s="78"/>
      <c r="D32" s="100">
        <f>MIN(('Customer Info'!$B$21+'Customer Info'!$B$22-'Customer Info'!$B$23),750)</f>
        <v>0</v>
      </c>
      <c r="E32" s="101" t="s">
        <v>41</v>
      </c>
      <c r="F32" s="102" t="s">
        <v>8</v>
      </c>
      <c r="G32" s="165">
        <f>LOOKUP($B$10,$S$11:$AD11,S15:AD15)</f>
        <v>5.3820999999999999E-3</v>
      </c>
      <c r="H32" s="103"/>
      <c r="I32" s="103"/>
      <c r="J32" s="237">
        <f>SUM(G32:H32)</f>
        <v>5.3820999999999999E-3</v>
      </c>
      <c r="K32" s="104" t="s">
        <v>42</v>
      </c>
      <c r="L32" s="105">
        <f>ROUND(D32*G32,2)</f>
        <v>0</v>
      </c>
      <c r="M32" s="105"/>
      <c r="N32" s="105"/>
      <c r="O32" s="105">
        <f t="shared" si="2"/>
        <v>0</v>
      </c>
      <c r="P32" s="245">
        <f>'Rider Rates'!$D$29</f>
        <v>45078</v>
      </c>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241" t="s">
        <v>175</v>
      </c>
      <c r="B33" s="78"/>
      <c r="C33" s="78"/>
      <c r="D33" s="100">
        <f>IF(('Customer Info'!$B$21+'Customer Info'!$B$22-'Customer Info'!$B$23)&lt;=750,0,IF(C14-750&gt;150,150,C14-750))</f>
        <v>0</v>
      </c>
      <c r="E33" s="101" t="s">
        <v>41</v>
      </c>
      <c r="F33" s="102" t="s">
        <v>8</v>
      </c>
      <c r="G33" s="165">
        <f>LOOKUP($B$10,$S$11:$AD11,S16:AD16)</f>
        <v>2.9126E-3</v>
      </c>
      <c r="H33" s="103"/>
      <c r="I33" s="103"/>
      <c r="J33" s="237">
        <f>SUM(G33:H33)</f>
        <v>2.9126E-3</v>
      </c>
      <c r="K33" s="104" t="s">
        <v>42</v>
      </c>
      <c r="L33" s="105">
        <f>ROUND(D33*G33,2)</f>
        <v>0</v>
      </c>
      <c r="M33" s="105"/>
      <c r="N33" s="105"/>
      <c r="O33" s="105">
        <f t="shared" si="2"/>
        <v>0</v>
      </c>
      <c r="P33" s="245">
        <f>'Rider Rates'!$D$30</f>
        <v>45078</v>
      </c>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41" t="s">
        <v>176</v>
      </c>
      <c r="B34" s="78"/>
      <c r="C34" s="78"/>
      <c r="D34" s="100">
        <f>IF(C14=0,0,IF(C14-900&gt;=0,C14-900,0))</f>
        <v>0</v>
      </c>
      <c r="E34" s="101" t="s">
        <v>41</v>
      </c>
      <c r="F34" s="102" t="s">
        <v>8</v>
      </c>
      <c r="G34" s="165">
        <f>LOOKUP($B$10,$S$11:$AD11,S17:AD17)</f>
        <v>3.4062999999999997E-3</v>
      </c>
      <c r="H34" s="103"/>
      <c r="I34" s="103"/>
      <c r="J34" s="237">
        <f>SUM(G34:H34)</f>
        <v>3.4062999999999997E-3</v>
      </c>
      <c r="K34" s="104" t="s">
        <v>42</v>
      </c>
      <c r="L34" s="105">
        <f>ROUND(D34*G34,2)</f>
        <v>0</v>
      </c>
      <c r="M34" s="105"/>
      <c r="N34" s="105"/>
      <c r="O34" s="105">
        <f t="shared" si="2"/>
        <v>0</v>
      </c>
      <c r="P34" s="245">
        <f>'Rider Rates'!$D$31</f>
        <v>45078</v>
      </c>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10" t="s">
        <v>202</v>
      </c>
      <c r="B35" s="78"/>
      <c r="C35" s="78"/>
      <c r="D35" s="100">
        <f>'Customer Info'!$B$21+'Customer Info'!$B$22-'Customer Info'!$B$23</f>
        <v>0</v>
      </c>
      <c r="E35" s="101" t="s">
        <v>41</v>
      </c>
      <c r="F35" s="102" t="s">
        <v>8</v>
      </c>
      <c r="G35" s="103">
        <f>'Rider Rates'!B46</f>
        <v>-4.8640000000000001E-4</v>
      </c>
      <c r="H35" s="103"/>
      <c r="I35" s="103"/>
      <c r="J35" s="237">
        <f>SUM(G35:H35)</f>
        <v>-4.8640000000000001E-4</v>
      </c>
      <c r="K35" s="104" t="s">
        <v>42</v>
      </c>
      <c r="L35" s="105">
        <f>ROUND(D35*G35,2)</f>
        <v>0</v>
      </c>
      <c r="M35" s="105"/>
      <c r="N35" s="105"/>
      <c r="O35" s="105">
        <f>SUM(L35:N35)</f>
        <v>0</v>
      </c>
      <c r="P35" s="245">
        <f>'Rider Rates'!$D$46</f>
        <v>45383</v>
      </c>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41" t="s">
        <v>220</v>
      </c>
      <c r="B36" s="78"/>
      <c r="C36" s="78"/>
      <c r="D36" s="100"/>
      <c r="E36" s="101" t="s">
        <v>114</v>
      </c>
      <c r="F36" s="102"/>
      <c r="G36" s="103"/>
      <c r="H36" s="103"/>
      <c r="I36" s="103">
        <f>'Rider Rates'!D49</f>
        <v>1.47</v>
      </c>
      <c r="J36" s="103">
        <f>SUM(G36:I36)</f>
        <v>1.47</v>
      </c>
      <c r="K36" s="104" t="s">
        <v>42</v>
      </c>
      <c r="L36" s="105"/>
      <c r="M36" s="105"/>
      <c r="N36" s="105">
        <f>J36</f>
        <v>1.47</v>
      </c>
      <c r="O36" s="105">
        <f>SUM(L36:N36)</f>
        <v>1.47</v>
      </c>
      <c r="P36" s="245">
        <f>'Rider Rates'!E49</f>
        <v>45292</v>
      </c>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10" t="s">
        <v>198</v>
      </c>
      <c r="B37" s="78"/>
      <c r="C37" s="78"/>
      <c r="D37" s="100">
        <f>IF($C$14&lt;0,0,$C$14)</f>
        <v>0</v>
      </c>
      <c r="E37" s="113" t="s">
        <v>41</v>
      </c>
      <c r="F37" s="102" t="s">
        <v>8</v>
      </c>
      <c r="G37" s="103"/>
      <c r="H37" s="103">
        <f>'Rider Rates'!$B$56</f>
        <v>4.3837099999999997E-2</v>
      </c>
      <c r="I37" s="103"/>
      <c r="J37" s="103">
        <f>SUM(G37:I37)</f>
        <v>4.3837099999999997E-2</v>
      </c>
      <c r="K37" s="104" t="s">
        <v>42</v>
      </c>
      <c r="L37" s="105"/>
      <c r="M37" s="105">
        <f>ROUND(D37*H37,2)</f>
        <v>0</v>
      </c>
      <c r="N37" s="205"/>
      <c r="O37" s="105">
        <f t="shared" si="2"/>
        <v>0</v>
      </c>
      <c r="P37" s="245">
        <f>'Rider Rates'!$D$56</f>
        <v>45383</v>
      </c>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99" t="s">
        <v>95</v>
      </c>
      <c r="B38" s="78"/>
      <c r="C38" s="78"/>
      <c r="D38" s="100">
        <f>IF('Customer Info'!C34=TRUE,0,IF($C$14&lt;0,0,$C$14))</f>
        <v>0</v>
      </c>
      <c r="E38" s="101" t="s">
        <v>41</v>
      </c>
      <c r="F38" s="102" t="s">
        <v>8</v>
      </c>
      <c r="G38" s="103"/>
      <c r="H38" s="103"/>
      <c r="I38" s="103">
        <f>'Rider Rates'!$B$68+'Rider Rates'!$C$68</f>
        <v>0</v>
      </c>
      <c r="J38" s="103">
        <f t="shared" si="0"/>
        <v>0</v>
      </c>
      <c r="K38" s="104" t="s">
        <v>42</v>
      </c>
      <c r="L38" s="105"/>
      <c r="M38" s="105"/>
      <c r="N38" s="105">
        <f>ROUND($D$38*'Rider Rates'!$B$68,2)+ROUND($D$38*'Rider Rates'!$C$68,2)</f>
        <v>0</v>
      </c>
      <c r="O38" s="105">
        <f>SUM(L38:N38)</f>
        <v>0</v>
      </c>
      <c r="P38" s="245">
        <f>'Rider Rates'!$D$68</f>
        <v>44531</v>
      </c>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ht="13" x14ac:dyDescent="0.3">
      <c r="A39" s="99" t="s">
        <v>80</v>
      </c>
      <c r="B39" s="78"/>
      <c r="C39" s="78"/>
      <c r="D39" s="195">
        <f>$N$20</f>
        <v>10</v>
      </c>
      <c r="E39" s="101" t="s">
        <v>121</v>
      </c>
      <c r="F39" s="102" t="s">
        <v>8</v>
      </c>
      <c r="G39" s="111"/>
      <c r="H39" s="112"/>
      <c r="I39" s="120">
        <f>'Rider Rates'!$B$84</f>
        <v>2.9347000000000002E-2</v>
      </c>
      <c r="J39" s="120">
        <f t="shared" si="0"/>
        <v>2.9347000000000002E-2</v>
      </c>
      <c r="K39" s="104"/>
      <c r="L39" s="105"/>
      <c r="M39" s="105"/>
      <c r="N39" s="105">
        <f>ROUND(D39*I39,2)</f>
        <v>0.28999999999999998</v>
      </c>
      <c r="O39" s="105">
        <f>SUM(L39:N39)</f>
        <v>0.28999999999999998</v>
      </c>
      <c r="P39" s="245">
        <f>'Rider Rates'!$D$84</f>
        <v>45383</v>
      </c>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ht="13" x14ac:dyDescent="0.3">
      <c r="A40" s="99" t="s">
        <v>81</v>
      </c>
      <c r="B40" s="78"/>
      <c r="C40" s="78"/>
      <c r="D40" s="195">
        <f>$N$20</f>
        <v>10</v>
      </c>
      <c r="E40" s="101" t="s">
        <v>121</v>
      </c>
      <c r="F40" s="102" t="s">
        <v>8</v>
      </c>
      <c r="G40" s="114"/>
      <c r="H40" s="115"/>
      <c r="I40" s="120">
        <f>'Rider Rates'!$B$86</f>
        <v>6.6985699999999995E-2</v>
      </c>
      <c r="J40" s="120">
        <f t="shared" si="0"/>
        <v>6.6985699999999995E-2</v>
      </c>
      <c r="K40" s="104"/>
      <c r="L40" s="105"/>
      <c r="M40" s="105"/>
      <c r="N40" s="105">
        <f>ROUND(D40*I40,2)</f>
        <v>0.67</v>
      </c>
      <c r="O40" s="105">
        <f>SUM(L40:N40)</f>
        <v>0.67</v>
      </c>
      <c r="P40" s="245">
        <f>'Rider Rates'!$D$86</f>
        <v>45167</v>
      </c>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ht="13" x14ac:dyDescent="0.3">
      <c r="A41" s="210" t="s">
        <v>216</v>
      </c>
      <c r="B41" s="78"/>
      <c r="C41" s="78"/>
      <c r="D41" s="195"/>
      <c r="E41" s="113" t="s">
        <v>114</v>
      </c>
      <c r="F41" s="106"/>
      <c r="G41" s="114"/>
      <c r="H41" s="115"/>
      <c r="I41" s="196">
        <f>'Rider Rates'!$B$89</f>
        <v>1.95</v>
      </c>
      <c r="J41" s="196">
        <f t="shared" si="0"/>
        <v>1.95</v>
      </c>
      <c r="K41" s="104"/>
      <c r="L41" s="105"/>
      <c r="M41" s="105"/>
      <c r="N41" s="105">
        <f>I41</f>
        <v>1.95</v>
      </c>
      <c r="O41" s="105">
        <f>SUM(L41:N41)</f>
        <v>1.95</v>
      </c>
      <c r="P41" s="245">
        <f>'Rider Rates'!$D$89</f>
        <v>45259</v>
      </c>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5">
      <c r="A42" s="210" t="s">
        <v>249</v>
      </c>
      <c r="B42" s="78"/>
      <c r="C42" s="78"/>
      <c r="D42" s="100">
        <f>IF($C$14&lt;0,0,$C$14)</f>
        <v>0</v>
      </c>
      <c r="E42" s="101" t="s">
        <v>41</v>
      </c>
      <c r="F42" s="102" t="s">
        <v>8</v>
      </c>
      <c r="G42" s="103"/>
      <c r="H42" s="103"/>
      <c r="I42" s="103"/>
      <c r="J42" s="103">
        <f>'Rider Rates'!$B$93</f>
        <v>0</v>
      </c>
      <c r="K42" s="104" t="s">
        <v>42</v>
      </c>
      <c r="L42" s="105"/>
      <c r="M42" s="105"/>
      <c r="N42" s="105"/>
      <c r="O42" s="105">
        <f>ROUND($D42*('Rider Rates'!B$93),2)</f>
        <v>0</v>
      </c>
      <c r="P42" s="245">
        <f>'Rider Rates'!$D$93</f>
        <v>44531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99" t="s">
        <v>157</v>
      </c>
      <c r="B43" s="78"/>
      <c r="C43" s="78"/>
      <c r="D43" s="195">
        <f>$N$20</f>
        <v>10</v>
      </c>
      <c r="E43" s="101" t="s">
        <v>121</v>
      </c>
      <c r="F43" s="102" t="s">
        <v>8</v>
      </c>
      <c r="G43" s="114"/>
      <c r="H43" s="115"/>
      <c r="I43" s="120">
        <f>'Rider Rates'!$B$104</f>
        <v>0.21398439999999999</v>
      </c>
      <c r="J43" s="120">
        <f t="shared" si="0"/>
        <v>0.21398439999999999</v>
      </c>
      <c r="K43" s="104"/>
      <c r="L43" s="105"/>
      <c r="M43" s="105"/>
      <c r="N43" s="105">
        <f>ROUND(D43*I43,2)</f>
        <v>2.14</v>
      </c>
      <c r="O43" s="105">
        <f t="shared" ref="O43:O48" si="3">SUM(L43:N43)</f>
        <v>2.14</v>
      </c>
      <c r="P43" s="245">
        <f>'Rider Rates'!$D$104</f>
        <v>45351</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219</v>
      </c>
      <c r="B44" s="78"/>
      <c r="C44" s="78"/>
      <c r="D44" s="195"/>
      <c r="E44" s="113" t="s">
        <v>114</v>
      </c>
      <c r="F44" s="106"/>
      <c r="G44" s="114"/>
      <c r="H44" s="115"/>
      <c r="I44" s="196">
        <f>'Rider Rates'!$B$107</f>
        <v>0</v>
      </c>
      <c r="J44" s="196">
        <f t="shared" si="0"/>
        <v>0</v>
      </c>
      <c r="K44" s="104"/>
      <c r="L44" s="105"/>
      <c r="M44" s="105"/>
      <c r="N44" s="105">
        <f>I44</f>
        <v>0</v>
      </c>
      <c r="O44" s="105">
        <f t="shared" si="3"/>
        <v>0</v>
      </c>
      <c r="P44" s="245">
        <f>'Rider Rates'!$D$107</f>
        <v>44894</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210" t="s">
        <v>227</v>
      </c>
      <c r="B45" s="78"/>
      <c r="C45" s="78"/>
      <c r="D45" s="195"/>
      <c r="E45" s="113" t="s">
        <v>114</v>
      </c>
      <c r="F45" s="106"/>
      <c r="G45" s="114"/>
      <c r="H45" s="115"/>
      <c r="I45" s="260">
        <f>'Rider Rates'!B120</f>
        <v>1.26</v>
      </c>
      <c r="J45" s="196">
        <f t="shared" si="0"/>
        <v>1.26</v>
      </c>
      <c r="K45" s="104"/>
      <c r="L45" s="105"/>
      <c r="M45" s="105"/>
      <c r="N45" s="262">
        <f>I45</f>
        <v>1.26</v>
      </c>
      <c r="O45" s="105">
        <f t="shared" si="3"/>
        <v>1.26</v>
      </c>
      <c r="P45" s="245">
        <f>'Rider Rates'!D120</f>
        <v>45226</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5">
      <c r="A46" s="99" t="s">
        <v>158</v>
      </c>
      <c r="B46" s="78"/>
      <c r="C46" s="78"/>
      <c r="D46" s="100">
        <f>'Customer Info'!$B$21+'Customer Info'!$B$22-'Customer Info'!$B$23</f>
        <v>0</v>
      </c>
      <c r="E46" s="101" t="s">
        <v>41</v>
      </c>
      <c r="F46" s="102" t="s">
        <v>8</v>
      </c>
      <c r="G46" s="103">
        <f>'Rider Rates'!$B$111</f>
        <v>3.8972999999999998E-3</v>
      </c>
      <c r="H46" s="103"/>
      <c r="I46" s="120"/>
      <c r="J46" s="237">
        <f>SUM(G46:H46)</f>
        <v>3.8972999999999998E-3</v>
      </c>
      <c r="K46" s="104" t="s">
        <v>42</v>
      </c>
      <c r="L46" s="105">
        <f>ROUND(D46*G46,2)</f>
        <v>0</v>
      </c>
      <c r="M46" s="105"/>
      <c r="N46" s="105"/>
      <c r="O46" s="105">
        <f t="shared" si="3"/>
        <v>0</v>
      </c>
      <c r="P46" s="245">
        <f>'Rider Rates'!$D$111</f>
        <v>44531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5">
      <c r="A47" s="210" t="s">
        <v>218</v>
      </c>
      <c r="B47" s="78"/>
      <c r="C47" s="78"/>
      <c r="D47" s="100">
        <f>IF($C$14&lt;1,0,$C$14)</f>
        <v>0</v>
      </c>
      <c r="E47" s="101" t="s">
        <v>41</v>
      </c>
      <c r="F47" s="249" t="s">
        <v>8</v>
      </c>
      <c r="G47" s="103"/>
      <c r="H47" s="103"/>
      <c r="I47" s="237">
        <f>'Rider Rates'!$B$116</f>
        <v>-2.3000000000000001E-4</v>
      </c>
      <c r="J47" s="237">
        <f>SUM(G47:I47)</f>
        <v>-2.3000000000000001E-4</v>
      </c>
      <c r="K47" s="104" t="s">
        <v>42</v>
      </c>
      <c r="L47" s="105"/>
      <c r="M47" s="105"/>
      <c r="N47" s="105">
        <f>D47*J47</f>
        <v>0</v>
      </c>
      <c r="O47" s="105">
        <f t="shared" si="3"/>
        <v>0</v>
      </c>
      <c r="P47" s="245">
        <f>'Rider Rates'!D116</f>
        <v>44531</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41" t="s">
        <v>240</v>
      </c>
      <c r="B48" s="78"/>
      <c r="C48" s="78"/>
      <c r="D48" s="100"/>
      <c r="E48" s="101" t="s">
        <v>114</v>
      </c>
      <c r="F48" s="102" t="s">
        <v>8</v>
      </c>
      <c r="G48" s="265"/>
      <c r="H48" s="265"/>
      <c r="I48" s="265">
        <f>'Rider Rates'!$B$124</f>
        <v>0.1</v>
      </c>
      <c r="J48" s="265">
        <f>SUM(G48:I48)</f>
        <v>0.1</v>
      </c>
      <c r="K48" s="104"/>
      <c r="L48" s="209"/>
      <c r="M48" s="209"/>
      <c r="N48" s="209">
        <f>J48</f>
        <v>0.1</v>
      </c>
      <c r="O48" s="209">
        <f t="shared" si="3"/>
        <v>0.1</v>
      </c>
      <c r="P48" s="266">
        <f>'Rider Rates'!$E$124</f>
        <v>44927</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241" t="s">
        <v>252</v>
      </c>
      <c r="B49" s="78"/>
      <c r="C49" s="78"/>
      <c r="D49" s="100">
        <f>C14</f>
        <v>0</v>
      </c>
      <c r="E49" s="101" t="s">
        <v>41</v>
      </c>
      <c r="F49" s="249" t="s">
        <v>8</v>
      </c>
      <c r="G49" s="103"/>
      <c r="H49" s="103"/>
      <c r="I49" s="103">
        <f>'Rider Rates'!$B$129</f>
        <v>0</v>
      </c>
      <c r="J49" s="237">
        <f>SUM(G49:I49)</f>
        <v>0</v>
      </c>
      <c r="K49" s="104" t="s">
        <v>42</v>
      </c>
      <c r="L49" s="105"/>
      <c r="M49" s="105"/>
      <c r="N49" s="105">
        <f>D49*J49</f>
        <v>0</v>
      </c>
      <c r="O49" s="105">
        <f>SUM(L49:N49)</f>
        <v>0</v>
      </c>
      <c r="P49" s="245">
        <f>'Rider Rates'!D129</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241" t="s">
        <v>251</v>
      </c>
      <c r="B50" s="78"/>
      <c r="C50" s="78"/>
      <c r="D50" s="100"/>
      <c r="E50" s="101" t="s">
        <v>114</v>
      </c>
      <c r="F50" s="102" t="s">
        <v>8</v>
      </c>
      <c r="G50" s="265"/>
      <c r="H50" s="265"/>
      <c r="I50" s="265">
        <f>'Rider Rates'!$B$136</f>
        <v>0</v>
      </c>
      <c r="J50" s="265">
        <f>SUM(G50:I50)</f>
        <v>0</v>
      </c>
      <c r="K50" s="104"/>
      <c r="L50" s="209"/>
      <c r="M50" s="209"/>
      <c r="N50" s="209">
        <f>J50</f>
        <v>0</v>
      </c>
      <c r="O50" s="209">
        <f>SUM(L50:N50)</f>
        <v>0</v>
      </c>
      <c r="P50" s="266">
        <f>'Rider Rates'!$D$132</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5">
      <c r="A51" s="241" t="s">
        <v>253</v>
      </c>
      <c r="B51" s="78"/>
      <c r="C51" s="78"/>
      <c r="D51" s="100"/>
      <c r="E51" s="101"/>
      <c r="F51" s="102"/>
      <c r="G51" s="265"/>
      <c r="H51" s="265"/>
      <c r="I51" s="265"/>
      <c r="J51" s="265"/>
      <c r="K51" s="104"/>
      <c r="L51" s="209"/>
      <c r="M51" s="209"/>
      <c r="N51" s="209"/>
      <c r="O51" s="209"/>
      <c r="P51" s="266"/>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ht="13" x14ac:dyDescent="0.3">
      <c r="A52" s="179" t="s">
        <v>70</v>
      </c>
      <c r="B52" s="148"/>
      <c r="C52" s="148"/>
      <c r="D52" s="180"/>
      <c r="E52" s="181"/>
      <c r="F52" s="182"/>
      <c r="G52" s="182"/>
      <c r="H52" s="182"/>
      <c r="I52" s="182"/>
      <c r="J52" s="182"/>
      <c r="K52" s="183"/>
      <c r="L52" s="169">
        <f>SUM(L24:L51)</f>
        <v>0</v>
      </c>
      <c r="M52" s="169">
        <f>SUM(M24:M51)</f>
        <v>0</v>
      </c>
      <c r="N52" s="169">
        <f>SUM(N24:N51)</f>
        <v>7.879999999999999</v>
      </c>
      <c r="O52" s="169">
        <f>SUM(O24:O51)</f>
        <v>7.879999999999999</v>
      </c>
      <c r="P52" s="184"/>
      <c r="Q52" s="106"/>
      <c r="R52" s="166"/>
      <c r="S52" s="166"/>
      <c r="T52" s="189"/>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5">
      <c r="A53" s="78"/>
      <c r="B53" s="78"/>
      <c r="C53" s="78"/>
      <c r="D53" s="100"/>
      <c r="E53" s="113"/>
      <c r="F53" s="106"/>
      <c r="G53" s="106"/>
      <c r="H53" s="106"/>
      <c r="I53" s="106"/>
      <c r="J53" s="107"/>
      <c r="K53" s="104"/>
      <c r="L53" s="106"/>
      <c r="M53" s="106"/>
      <c r="N53" s="106"/>
      <c r="O53" s="106"/>
      <c r="P53" s="164"/>
      <c r="Q53" s="106"/>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ht="13" x14ac:dyDescent="0.3">
      <c r="A54" s="170"/>
      <c r="B54" s="170"/>
      <c r="C54" s="170"/>
      <c r="D54" s="170"/>
      <c r="E54" s="170"/>
      <c r="F54" s="170"/>
      <c r="G54" s="170"/>
      <c r="H54" s="170"/>
      <c r="I54" s="170"/>
      <c r="J54" s="170"/>
      <c r="K54" s="170"/>
      <c r="L54" s="186">
        <f>L20+L52</f>
        <v>0</v>
      </c>
      <c r="M54" s="186">
        <f>M20+M52</f>
        <v>0</v>
      </c>
      <c r="N54" s="186">
        <f>N20+N52</f>
        <v>17.88</v>
      </c>
      <c r="O54" s="187">
        <f>O20+O52</f>
        <v>17.88</v>
      </c>
      <c r="P54" s="187"/>
      <c r="Q54" s="106"/>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ht="13" x14ac:dyDescent="0.3">
      <c r="A55" s="78"/>
      <c r="B55" s="78"/>
      <c r="C55" s="78"/>
      <c r="D55" s="78"/>
      <c r="E55" s="78"/>
      <c r="F55" s="78"/>
      <c r="G55" s="78"/>
      <c r="H55" s="78"/>
      <c r="I55" s="78"/>
      <c r="J55" s="78"/>
      <c r="K55" s="78"/>
      <c r="L55" s="78"/>
      <c r="M55" s="78"/>
      <c r="N55" s="151"/>
      <c r="O55" s="151"/>
      <c r="P55" s="151"/>
      <c r="Q55" s="166"/>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ht="13" x14ac:dyDescent="0.3">
      <c r="A56" s="166" t="s">
        <v>92</v>
      </c>
      <c r="B56" s="78"/>
      <c r="C56" s="78"/>
      <c r="D56" s="78"/>
      <c r="E56" s="78"/>
      <c r="F56" s="78"/>
      <c r="G56" s="78"/>
      <c r="H56" s="78"/>
      <c r="I56" s="78"/>
      <c r="J56" s="78"/>
      <c r="K56" s="78"/>
      <c r="L56" s="78"/>
      <c r="M56" s="78"/>
      <c r="N56" s="78"/>
      <c r="O56" s="109">
        <f>IF($C$14&lt;=0,MIN(O18,O54), O18)</f>
        <v>10</v>
      </c>
      <c r="P56" s="151"/>
      <c r="Q56" s="166"/>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ht="13" x14ac:dyDescent="0.3">
      <c r="A57" s="78"/>
      <c r="B57" s="166"/>
      <c r="C57" s="166"/>
      <c r="D57" s="166"/>
      <c r="E57" s="166"/>
      <c r="F57" s="166"/>
      <c r="G57" s="166"/>
      <c r="H57" s="166"/>
      <c r="I57" s="78"/>
      <c r="J57" s="78"/>
      <c r="K57" s="78"/>
      <c r="L57" s="78"/>
      <c r="M57" s="78"/>
      <c r="N57" s="151"/>
      <c r="O57" s="151"/>
      <c r="P57" s="151"/>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148" t="s">
        <v>116</v>
      </c>
      <c r="B58" s="151"/>
      <c r="C58" s="151"/>
      <c r="D58" s="151"/>
      <c r="E58" s="151"/>
      <c r="F58" s="151"/>
      <c r="G58" s="151"/>
      <c r="H58" s="151"/>
      <c r="I58" s="151"/>
      <c r="J58" s="151"/>
      <c r="K58" s="151"/>
      <c r="L58" s="151"/>
      <c r="M58" s="151"/>
      <c r="N58" s="151"/>
      <c r="O58" s="190">
        <f>IF($C$14&lt;0,O54,IF(O54&gt;O56,O54,I53))</f>
        <v>17.88</v>
      </c>
      <c r="P58" s="160"/>
      <c r="Q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3" x14ac:dyDescent="0.3">
      <c r="A59" s="78"/>
      <c r="B59" s="151"/>
      <c r="C59" s="151"/>
      <c r="D59" s="151"/>
      <c r="E59" s="151"/>
      <c r="F59" s="151"/>
      <c r="G59" s="151"/>
      <c r="H59" s="151"/>
      <c r="I59" s="151"/>
      <c r="J59" s="151"/>
      <c r="K59" s="151"/>
      <c r="L59" s="151"/>
      <c r="M59" s="151"/>
      <c r="N59" s="151"/>
      <c r="O59" s="138"/>
      <c r="P59" s="160"/>
      <c r="Q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ht="13" x14ac:dyDescent="0.3">
      <c r="A60" s="78"/>
      <c r="B60" s="166"/>
      <c r="C60" s="166"/>
      <c r="D60" s="166"/>
      <c r="E60" s="166"/>
      <c r="F60" s="166"/>
      <c r="G60" s="166"/>
      <c r="H60" s="166"/>
      <c r="I60" s="166" t="s">
        <v>120</v>
      </c>
      <c r="J60" s="166"/>
      <c r="K60" s="166"/>
      <c r="L60" s="191"/>
      <c r="M60" s="191"/>
      <c r="N60" s="191"/>
      <c r="O60" s="191">
        <f>ROUND(IF($C$14&lt;1,0,O54/($C$14*100)*10000),2)</f>
        <v>0</v>
      </c>
      <c r="P60" s="37" t="s">
        <v>86</v>
      </c>
      <c r="Q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row>
    <row r="61" spans="1:236" ht="13" x14ac:dyDescent="0.3">
      <c r="A61" s="78"/>
      <c r="B61" s="78"/>
      <c r="C61" s="78"/>
      <c r="D61" s="78"/>
      <c r="E61" s="78"/>
      <c r="F61" s="78"/>
      <c r="G61" s="78"/>
      <c r="H61" s="192"/>
      <c r="I61" s="242" t="s">
        <v>199</v>
      </c>
      <c r="J61" s="78"/>
      <c r="K61" s="78"/>
      <c r="L61" s="78"/>
      <c r="M61" s="78"/>
      <c r="N61" s="78"/>
      <c r="O61" s="243">
        <f>ROUND(IF($C$14&lt;1,0,(L54)/($C$14*100)*10000),2)</f>
        <v>0</v>
      </c>
      <c r="P61" s="25" t="s">
        <v>86</v>
      </c>
      <c r="Q61" s="78"/>
      <c r="AE61" s="78"/>
      <c r="AF61" s="78"/>
      <c r="AG61" s="78"/>
      <c r="AH61" s="78"/>
      <c r="AI61" s="78"/>
      <c r="AJ61" s="78"/>
      <c r="AK61" s="78"/>
      <c r="AL61" s="78"/>
      <c r="AM61" s="78"/>
      <c r="AN61" s="78"/>
      <c r="AO61" s="78"/>
      <c r="AP61" s="78"/>
      <c r="AQ61" s="78"/>
      <c r="AR61" s="78"/>
      <c r="AS61" s="78"/>
      <c r="AT61" s="78"/>
      <c r="HE61" s="78"/>
      <c r="HF61" s="78"/>
      <c r="HG61" s="78"/>
      <c r="HH61" s="78"/>
      <c r="HI61" s="78"/>
      <c r="HJ61" s="78"/>
      <c r="HK61" s="78"/>
      <c r="HL61" s="78"/>
      <c r="HM61" s="78"/>
      <c r="HN61" s="78"/>
    </row>
    <row r="62" spans="1:236" x14ac:dyDescent="0.25">
      <c r="A62" s="78"/>
    </row>
    <row r="63" spans="1:236" x14ac:dyDescent="0.25">
      <c r="A63" s="78"/>
    </row>
    <row r="64" spans="1:236" x14ac:dyDescent="0.25">
      <c r="A64" s="78"/>
    </row>
    <row r="65" spans="1:1" x14ac:dyDescent="0.25">
      <c r="A65" s="78"/>
    </row>
    <row r="66" spans="1:1" x14ac:dyDescent="0.25">
      <c r="A66" s="78"/>
    </row>
    <row r="67" spans="1:1" x14ac:dyDescent="0.25">
      <c r="A67" s="78"/>
    </row>
  </sheetData>
  <sheetProtection algorithmName="SHA-512" hashValue="D8rSucCKqpknDucjK+D/wNmVzXF01mxIP2RSyR8Gn8Wh5Yl0fELHmMEvfj39xP5v+4U5m9VmxVty/P8VRkQwRw==" saltValue="xzg6CK6Cz8Vs8imV0q45mg==" spinCount="100000" sheet="1" objects="1" scenarios="1"/>
  <mergeCells count="9">
    <mergeCell ref="A11:I11"/>
    <mergeCell ref="G16:J16"/>
    <mergeCell ref="L16:O16"/>
    <mergeCell ref="A1:P1"/>
    <mergeCell ref="A2:P2"/>
    <mergeCell ref="A3:P3"/>
    <mergeCell ref="A4:P4"/>
    <mergeCell ref="B5:O5"/>
    <mergeCell ref="A6:K6"/>
  </mergeCells>
  <printOptions horizontalCentered="1"/>
  <pageMargins left="0" right="0" top="0.5" bottom="0.5" header="0.5" footer="0.5"/>
  <pageSetup scale="57"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6978" r:id="rId5" name="Button 2">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26979"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dimension ref="A1:IB66"/>
  <sheetViews>
    <sheetView showGridLines="0" zoomScale="80" zoomScaleNormal="80" workbookViewId="0">
      <selection activeCell="C14" sqref="C14"/>
    </sheetView>
  </sheetViews>
  <sheetFormatPr defaultRowHeight="12.5" x14ac:dyDescent="0.25"/>
  <cols>
    <col min="1" max="1" width="39" customWidth="1"/>
    <col min="2" max="2" width="2.1796875" customWidth="1"/>
    <col min="3" max="3" width="13" customWidth="1"/>
    <col min="4" max="4" width="15.26953125" customWidth="1"/>
    <col min="5" max="5" width="10.453125" customWidth="1"/>
    <col min="6" max="6" width="5.54296875" customWidth="1"/>
    <col min="7" max="8" width="13.26953125" customWidth="1"/>
    <col min="9" max="9" width="14.54296875" customWidth="1"/>
    <col min="10" max="10" width="13.26953125" customWidth="1"/>
    <col min="11" max="11" width="5.54296875" bestFit="1" customWidth="1"/>
    <col min="12" max="12" width="15.1796875" customWidth="1"/>
    <col min="13" max="13" width="17.26953125" bestFit="1" customWidth="1"/>
    <col min="14" max="14" width="17.7265625" customWidth="1"/>
    <col min="15" max="15" width="18.7265625" customWidth="1"/>
    <col min="16" max="16" width="15" customWidth="1"/>
    <col min="17" max="17" width="12.81640625" bestFit="1" customWidth="1"/>
    <col min="18" max="18" width="10.542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c r="Q1" s="203"/>
    </row>
    <row r="2" spans="1:30" ht="20" x14ac:dyDescent="0.4">
      <c r="A2" s="452" t="s">
        <v>255</v>
      </c>
      <c r="B2" s="452"/>
      <c r="C2" s="452"/>
      <c r="D2" s="452"/>
      <c r="E2" s="452"/>
      <c r="F2" s="452"/>
      <c r="G2" s="452"/>
      <c r="H2" s="452"/>
      <c r="I2" s="452"/>
      <c r="J2" s="452"/>
      <c r="K2" s="452"/>
      <c r="L2" s="452"/>
      <c r="M2" s="452"/>
      <c r="N2" s="452"/>
      <c r="O2" s="452"/>
      <c r="P2" s="452"/>
      <c r="Q2" s="197"/>
    </row>
    <row r="3" spans="1:30" ht="18" x14ac:dyDescent="0.4">
      <c r="A3" s="437" t="s">
        <v>94</v>
      </c>
      <c r="B3" s="437"/>
      <c r="C3" s="437"/>
      <c r="D3" s="437"/>
      <c r="E3" s="437"/>
      <c r="F3" s="437"/>
      <c r="G3" s="437"/>
      <c r="H3" s="437"/>
      <c r="I3" s="437"/>
      <c r="J3" s="437"/>
      <c r="K3" s="437"/>
      <c r="L3" s="437"/>
      <c r="M3" s="437"/>
      <c r="N3" s="437"/>
      <c r="O3" s="437"/>
      <c r="P3" s="437"/>
      <c r="Q3" s="198"/>
    </row>
    <row r="4" spans="1:30" ht="15.5" x14ac:dyDescent="0.35">
      <c r="A4" s="437"/>
      <c r="B4" s="437"/>
      <c r="C4" s="437"/>
      <c r="D4" s="437"/>
      <c r="E4" s="437"/>
      <c r="F4" s="437"/>
      <c r="G4" s="437"/>
      <c r="H4" s="437"/>
      <c r="I4" s="437"/>
      <c r="J4" s="437"/>
      <c r="K4" s="437"/>
      <c r="L4" s="437"/>
      <c r="M4" s="437"/>
      <c r="N4" s="437"/>
      <c r="O4" s="437"/>
      <c r="P4" s="437"/>
      <c r="Q4" s="199"/>
    </row>
    <row r="5" spans="1:30" x14ac:dyDescent="0.25">
      <c r="A5" s="76">
        <f ca="1">TODAY()</f>
        <v>45378</v>
      </c>
      <c r="B5" s="444" t="s">
        <v>257</v>
      </c>
      <c r="C5" s="444"/>
      <c r="D5" s="444"/>
      <c r="E5" s="444"/>
      <c r="F5" s="444"/>
      <c r="G5" s="444"/>
      <c r="H5" s="444"/>
      <c r="I5" s="444"/>
      <c r="J5" s="444"/>
      <c r="K5" s="444"/>
      <c r="L5" s="444"/>
      <c r="M5" s="444"/>
      <c r="N5" s="444"/>
      <c r="O5" s="444"/>
    </row>
    <row r="6" spans="1:30" x14ac:dyDescent="0.25">
      <c r="A6" s="435" t="s">
        <v>15</v>
      </c>
      <c r="B6" s="435"/>
      <c r="C6" s="435"/>
      <c r="D6" s="435"/>
      <c r="E6" s="435"/>
      <c r="F6" s="435"/>
      <c r="G6" s="435"/>
      <c r="H6" s="435"/>
      <c r="I6" s="435"/>
      <c r="J6" s="435"/>
      <c r="K6" s="435"/>
    </row>
    <row r="7" spans="1:30" x14ac:dyDescent="0.25">
      <c r="C7" s="18"/>
      <c r="D7" s="18"/>
      <c r="E7" s="18"/>
      <c r="F7" s="18"/>
      <c r="G7" s="18"/>
      <c r="H7" s="18"/>
      <c r="I7" s="18"/>
      <c r="J7" s="18"/>
      <c r="K7" s="18"/>
    </row>
    <row r="8" spans="1:30" ht="15.5" x14ac:dyDescent="0.35">
      <c r="A8" s="23" t="s">
        <v>2</v>
      </c>
      <c r="B8" s="24"/>
      <c r="C8" s="25">
        <f>'Customer Info'!B7</f>
        <v>0</v>
      </c>
      <c r="I8" s="26"/>
    </row>
    <row r="9" spans="1:30" ht="15.5" x14ac:dyDescent="0.35">
      <c r="A9" s="27" t="s">
        <v>26</v>
      </c>
      <c r="B9" s="24"/>
      <c r="C9" s="25">
        <f>'Customer Info'!B8</f>
        <v>0</v>
      </c>
    </row>
    <row r="10" spans="1:30" ht="13" x14ac:dyDescent="0.3">
      <c r="A10" s="23" t="s">
        <v>3</v>
      </c>
      <c r="B10" s="200">
        <f>'Customer Info'!B9</f>
        <v>4</v>
      </c>
      <c r="C10" s="194" t="str">
        <f>LOOKUP(B10,S11:AD11,S12:AD12)</f>
        <v>April</v>
      </c>
      <c r="D10" s="133">
        <f>'Customer Info'!C9</f>
        <v>2024</v>
      </c>
    </row>
    <row r="11" spans="1:30" ht="13" x14ac:dyDescent="0.3">
      <c r="A11" s="446"/>
      <c r="B11" s="446"/>
      <c r="C11" s="446"/>
      <c r="D11" s="446"/>
      <c r="E11" s="446"/>
      <c r="F11" s="446"/>
      <c r="G11" s="446"/>
      <c r="H11" s="446"/>
      <c r="I11" s="446"/>
      <c r="J11" s="94"/>
      <c r="K11" s="94"/>
      <c r="L11" s="94"/>
      <c r="M11" s="94"/>
      <c r="N11" s="94"/>
      <c r="O11" s="94"/>
      <c r="P11" s="94"/>
      <c r="S11">
        <v>1</v>
      </c>
      <c r="T11">
        <v>2</v>
      </c>
      <c r="U11">
        <v>3</v>
      </c>
      <c r="V11">
        <v>4</v>
      </c>
      <c r="W11">
        <v>5</v>
      </c>
      <c r="X11">
        <v>6</v>
      </c>
      <c r="Y11">
        <v>7</v>
      </c>
      <c r="Z11">
        <v>8</v>
      </c>
      <c r="AA11">
        <v>9</v>
      </c>
      <c r="AB11">
        <v>10</v>
      </c>
      <c r="AC11">
        <v>11</v>
      </c>
      <c r="AD11">
        <v>12</v>
      </c>
    </row>
    <row r="12" spans="1:30" ht="13" x14ac:dyDescent="0.3">
      <c r="A12" s="97" t="s">
        <v>27</v>
      </c>
      <c r="B12" s="18"/>
      <c r="C12" s="18"/>
      <c r="D12" s="18"/>
      <c r="E12" s="18"/>
      <c r="F12" s="18"/>
      <c r="G12" s="18"/>
      <c r="H12" s="18"/>
      <c r="I12" s="1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x14ac:dyDescent="0.25">
      <c r="A13" s="18"/>
      <c r="B13" s="18"/>
      <c r="C13" s="18"/>
      <c r="D13" s="18"/>
      <c r="E13" s="18"/>
      <c r="F13" s="18"/>
      <c r="G13" s="18"/>
      <c r="H13" s="18"/>
      <c r="I13" s="18"/>
      <c r="R13" s="78" t="s">
        <v>117</v>
      </c>
      <c r="S13" s="193">
        <v>1.8274700000000001E-2</v>
      </c>
      <c r="T13" s="193">
        <v>1.8274700000000001E-2</v>
      </c>
      <c r="U13" s="193">
        <v>1.8274700000000001E-2</v>
      </c>
      <c r="V13" s="193">
        <v>1.8274700000000001E-2</v>
      </c>
      <c r="W13" s="193">
        <v>1.8274700000000001E-2</v>
      </c>
      <c r="X13" s="193">
        <v>1.8274700000000001E-2</v>
      </c>
      <c r="Y13" s="193">
        <v>1.8274700000000001E-2</v>
      </c>
      <c r="Z13" s="193">
        <v>1.8274700000000001E-2</v>
      </c>
      <c r="AA13" s="193">
        <v>1.8274700000000001E-2</v>
      </c>
      <c r="AB13" s="193">
        <v>1.8274700000000001E-2</v>
      </c>
      <c r="AC13" s="193">
        <v>1.8274700000000001E-2</v>
      </c>
      <c r="AD13" s="193">
        <v>1.8274700000000001E-2</v>
      </c>
    </row>
    <row r="14" spans="1:30" x14ac:dyDescent="0.25">
      <c r="A14" s="31" t="s">
        <v>43</v>
      </c>
      <c r="B14" s="31"/>
      <c r="C14" s="32">
        <f>IF('Customer Info'!B21+'Customer Info'!B22-'Customer Info'!B23&lt;0,0,'Customer Info'!B21+'Customer Info'!B22-'Customer Info'!B23)</f>
        <v>0</v>
      </c>
      <c r="D14" s="31" t="s">
        <v>41</v>
      </c>
      <c r="E14" s="31"/>
      <c r="F14" s="33"/>
      <c r="G14" s="31"/>
      <c r="H14" s="31"/>
      <c r="I14" s="31"/>
      <c r="R14" s="78" t="s">
        <v>118</v>
      </c>
      <c r="S14" s="193">
        <v>1.8274700000000001E-2</v>
      </c>
      <c r="T14" s="193">
        <v>1.8274700000000001E-2</v>
      </c>
      <c r="U14" s="193">
        <v>1.8274700000000001E-2</v>
      </c>
      <c r="V14" s="193">
        <v>1.8274700000000001E-2</v>
      </c>
      <c r="W14" s="193">
        <v>1.8274700000000001E-2</v>
      </c>
      <c r="X14" s="193">
        <v>1.8274700000000001E-2</v>
      </c>
      <c r="Y14" s="193">
        <v>1.8274700000000001E-2</v>
      </c>
      <c r="Z14" s="193">
        <v>1.8274700000000001E-2</v>
      </c>
      <c r="AA14" s="193">
        <v>1.8274700000000001E-2</v>
      </c>
      <c r="AB14" s="193">
        <v>1.8274700000000001E-2</v>
      </c>
      <c r="AC14" s="193">
        <v>1.8274700000000001E-2</v>
      </c>
      <c r="AD14" s="193">
        <v>1.8274700000000001E-2</v>
      </c>
    </row>
    <row r="15" spans="1:30" x14ac:dyDescent="0.25">
      <c r="A15" s="31" t="s">
        <v>84</v>
      </c>
      <c r="B15" s="31"/>
      <c r="C15" s="212">
        <f>MAX('Customer Info'!B18,'Customer Info'!B19)</f>
        <v>0</v>
      </c>
      <c r="D15" s="31" t="s">
        <v>45</v>
      </c>
      <c r="E15" s="31"/>
      <c r="F15" s="33"/>
      <c r="G15" s="31"/>
      <c r="H15" s="31"/>
      <c r="I15" s="31"/>
      <c r="R15" s="78" t="s">
        <v>123</v>
      </c>
      <c r="S15" s="193">
        <v>1.8274700000000001E-2</v>
      </c>
      <c r="T15" s="193">
        <v>1.8274700000000001E-2</v>
      </c>
      <c r="U15" s="193">
        <v>1.8274700000000001E-2</v>
      </c>
      <c r="V15" s="193">
        <v>1.8274700000000001E-2</v>
      </c>
      <c r="W15" s="193">
        <v>1.8274700000000001E-2</v>
      </c>
      <c r="X15" s="193">
        <v>1.8274700000000001E-2</v>
      </c>
      <c r="Y15" s="193">
        <v>1.8274700000000001E-2</v>
      </c>
      <c r="Z15" s="193">
        <v>1.8274700000000001E-2</v>
      </c>
      <c r="AA15" s="193">
        <v>1.8274700000000001E-2</v>
      </c>
      <c r="AB15" s="193">
        <v>1.8274700000000001E-2</v>
      </c>
      <c r="AC15" s="193">
        <v>1.8274700000000001E-2</v>
      </c>
      <c r="AD15" s="193">
        <v>1.8274700000000001E-2</v>
      </c>
    </row>
    <row r="16" spans="1:30" ht="13" x14ac:dyDescent="0.3">
      <c r="A16" s="31"/>
      <c r="B16" s="31"/>
      <c r="C16" s="33"/>
      <c r="D16" s="33"/>
      <c r="E16" s="33"/>
      <c r="F16" s="33"/>
      <c r="G16" s="23"/>
      <c r="H16" s="31"/>
      <c r="I16" s="31"/>
      <c r="R16" t="s">
        <v>166</v>
      </c>
      <c r="S16" s="222">
        <f>'Rider Rates'!$C$29</f>
        <v>5.3820999999999999E-3</v>
      </c>
      <c r="T16" s="222">
        <f>'Rider Rates'!$C$29</f>
        <v>5.3820999999999999E-3</v>
      </c>
      <c r="U16" s="222">
        <f>'Rider Rates'!$C$29</f>
        <v>5.3820999999999999E-3</v>
      </c>
      <c r="V16" s="222">
        <f>'Rider Rates'!$C$29</f>
        <v>5.3820999999999999E-3</v>
      </c>
      <c r="W16" s="222">
        <f>'Rider Rates'!$C$29</f>
        <v>5.3820999999999999E-3</v>
      </c>
      <c r="X16" s="222">
        <f>'Rider Rates'!$B$29</f>
        <v>5.3820999999999999E-3</v>
      </c>
      <c r="Y16" s="222">
        <f>'Rider Rates'!$B$29</f>
        <v>5.3820999999999999E-3</v>
      </c>
      <c r="Z16" s="222">
        <f>'Rider Rates'!$B$29</f>
        <v>5.3820999999999999E-3</v>
      </c>
      <c r="AA16" s="222">
        <f>'Rider Rates'!$B$29</f>
        <v>5.3820999999999999E-3</v>
      </c>
      <c r="AB16" s="222">
        <f>'Rider Rates'!$C$29</f>
        <v>5.3820999999999999E-3</v>
      </c>
      <c r="AC16" s="222">
        <f>'Rider Rates'!$C$29</f>
        <v>5.3820999999999999E-3</v>
      </c>
      <c r="AD16" s="222">
        <f>'Rider Rates'!$C$29</f>
        <v>5.3820999999999999E-3</v>
      </c>
    </row>
    <row r="17" spans="1:221" ht="13" x14ac:dyDescent="0.3">
      <c r="A17" s="28" t="s">
        <v>124</v>
      </c>
      <c r="B17" s="22"/>
      <c r="C17" s="22"/>
      <c r="D17" s="22"/>
      <c r="E17" s="22"/>
      <c r="F17" s="22"/>
      <c r="G17" s="447" t="s">
        <v>67</v>
      </c>
      <c r="H17" s="448"/>
      <c r="I17" s="448"/>
      <c r="J17" s="449"/>
      <c r="K17" s="22"/>
      <c r="L17" s="450" t="s">
        <v>68</v>
      </c>
      <c r="M17" s="450"/>
      <c r="N17" s="450"/>
      <c r="O17" s="450"/>
      <c r="R17" t="s">
        <v>167</v>
      </c>
      <c r="S17" s="222">
        <f>'Rider Rates'!$C$30</f>
        <v>2.9126E-3</v>
      </c>
      <c r="T17" s="222">
        <f>'Rider Rates'!$C$30</f>
        <v>2.9126E-3</v>
      </c>
      <c r="U17" s="222">
        <f>'Rider Rates'!$C$30</f>
        <v>2.9126E-3</v>
      </c>
      <c r="V17" s="222">
        <f>'Rider Rates'!$C$30</f>
        <v>2.9126E-3</v>
      </c>
      <c r="W17" s="222">
        <f>'Rider Rates'!$C$30</f>
        <v>2.9126E-3</v>
      </c>
      <c r="X17" s="222">
        <f>'Rider Rates'!$B$30</f>
        <v>5.1126000000000001E-3</v>
      </c>
      <c r="Y17" s="222">
        <f>'Rider Rates'!$B$30</f>
        <v>5.1126000000000001E-3</v>
      </c>
      <c r="Z17" s="222">
        <f>'Rider Rates'!$B$30</f>
        <v>5.1126000000000001E-3</v>
      </c>
      <c r="AA17" s="222">
        <f>'Rider Rates'!$B$30</f>
        <v>5.1126000000000001E-3</v>
      </c>
      <c r="AB17" s="222">
        <f>'Rider Rates'!$C$30</f>
        <v>2.9126E-3</v>
      </c>
      <c r="AC17" s="222">
        <f>'Rider Rates'!$C$30</f>
        <v>2.9126E-3</v>
      </c>
      <c r="AD17" s="222">
        <f>'Rider Rates'!$C$30</f>
        <v>2.9126E-3</v>
      </c>
    </row>
    <row r="18" spans="1:221" ht="13" x14ac:dyDescent="0.3">
      <c r="A18" s="18"/>
      <c r="B18" s="18"/>
      <c r="C18" s="18"/>
      <c r="D18" s="18"/>
      <c r="E18" s="18"/>
      <c r="F18" s="18"/>
      <c r="G18" s="8" t="s">
        <v>64</v>
      </c>
      <c r="H18" s="8" t="s">
        <v>65</v>
      </c>
      <c r="I18" s="8" t="s">
        <v>66</v>
      </c>
      <c r="J18" s="112" t="s">
        <v>34</v>
      </c>
      <c r="K18" s="18"/>
      <c r="L18" s="131" t="s">
        <v>64</v>
      </c>
      <c r="M18" s="131" t="s">
        <v>65</v>
      </c>
      <c r="N18" s="131" t="s">
        <v>66</v>
      </c>
      <c r="O18" s="132" t="s">
        <v>34</v>
      </c>
      <c r="P18" s="43" t="s">
        <v>56</v>
      </c>
      <c r="R18" t="s">
        <v>168</v>
      </c>
      <c r="S18" s="222">
        <f>'Rider Rates'!$C$31</f>
        <v>3.4062999999999997E-3</v>
      </c>
      <c r="T18" s="222">
        <f>'Rider Rates'!$C$31</f>
        <v>3.4062999999999997E-3</v>
      </c>
      <c r="U18" s="222">
        <f>'Rider Rates'!$C$31</f>
        <v>3.4062999999999997E-3</v>
      </c>
      <c r="V18" s="222">
        <f>'Rider Rates'!$C$31</f>
        <v>3.4062999999999997E-3</v>
      </c>
      <c r="W18" s="222">
        <f>'Rider Rates'!$C$31</f>
        <v>3.4062999999999997E-3</v>
      </c>
      <c r="X18" s="222">
        <f>'Rider Rates'!$B$31</f>
        <v>4.7838000000000004E-3</v>
      </c>
      <c r="Y18" s="222">
        <f>'Rider Rates'!$B$31</f>
        <v>4.7838000000000004E-3</v>
      </c>
      <c r="Z18" s="222">
        <f>'Rider Rates'!$B$31</f>
        <v>4.7838000000000004E-3</v>
      </c>
      <c r="AA18" s="222">
        <f>'Rider Rates'!$B$31</f>
        <v>4.7838000000000004E-3</v>
      </c>
      <c r="AB18" s="222">
        <f>'Rider Rates'!$C$31</f>
        <v>3.4062999999999997E-3</v>
      </c>
      <c r="AC18" s="222">
        <f>'Rider Rates'!$C$31</f>
        <v>3.4062999999999997E-3</v>
      </c>
      <c r="AD18" s="222">
        <f>'Rider Rates'!$C$31</f>
        <v>3.4062999999999997E-3</v>
      </c>
    </row>
    <row r="19" spans="1:221" x14ac:dyDescent="0.25">
      <c r="A19" t="s">
        <v>32</v>
      </c>
      <c r="G19" s="83"/>
      <c r="H19" s="83"/>
      <c r="I19" s="125">
        <v>10</v>
      </c>
      <c r="J19" s="125">
        <f>SUM(G19:I19)</f>
        <v>10</v>
      </c>
      <c r="L19" s="125"/>
      <c r="M19" s="125"/>
      <c r="N19" s="125">
        <f>I19</f>
        <v>10</v>
      </c>
      <c r="O19" s="125">
        <f>+SUM(L19:N19)</f>
        <v>10</v>
      </c>
      <c r="P19" s="245">
        <v>44531</v>
      </c>
      <c r="R19" s="3" t="s">
        <v>200</v>
      </c>
      <c r="S19">
        <f>'Rider Rates'!$C$21</f>
        <v>0.10589</v>
      </c>
      <c r="T19">
        <f>'Rider Rates'!$C$21</f>
        <v>0.10589</v>
      </c>
      <c r="U19">
        <f>'Rider Rates'!$C$21</f>
        <v>0.10589</v>
      </c>
      <c r="V19">
        <f>'Rider Rates'!$C$21</f>
        <v>0.10589</v>
      </c>
      <c r="W19">
        <f>'Rider Rates'!$C$21</f>
        <v>0.10589</v>
      </c>
      <c r="X19">
        <f>'Rider Rates'!$B$21</f>
        <v>0.10589</v>
      </c>
      <c r="Y19">
        <f>'Rider Rates'!$B$21</f>
        <v>0.10589</v>
      </c>
      <c r="Z19">
        <f>'Rider Rates'!$B$21</f>
        <v>0.10589</v>
      </c>
      <c r="AA19">
        <f>'Rider Rates'!$B$21</f>
        <v>0.10589</v>
      </c>
      <c r="AB19">
        <f>'Rider Rates'!$C$21</f>
        <v>0.10589</v>
      </c>
      <c r="AC19">
        <f>'Rider Rates'!$C$21</f>
        <v>0.10589</v>
      </c>
      <c r="AD19">
        <f>'Rider Rates'!$C$21</f>
        <v>0.10589</v>
      </c>
    </row>
    <row r="20" spans="1:221" x14ac:dyDescent="0.25">
      <c r="A20" s="18" t="s">
        <v>256</v>
      </c>
      <c r="B20" s="18"/>
      <c r="C20" s="18"/>
      <c r="D20" s="100">
        <f>C15</f>
        <v>0</v>
      </c>
      <c r="E20" s="124" t="s">
        <v>45</v>
      </c>
      <c r="F20" s="20" t="s">
        <v>8</v>
      </c>
      <c r="G20" s="165"/>
      <c r="H20" s="83"/>
      <c r="I20" s="165">
        <v>4.2699999999999996</v>
      </c>
      <c r="J20" s="126">
        <f>SUM(G20:I20)</f>
        <v>4.2699999999999996</v>
      </c>
      <c r="K20" t="s">
        <v>42</v>
      </c>
      <c r="L20" s="125"/>
      <c r="M20" s="125"/>
      <c r="N20" s="125">
        <f>IF($C$14&lt;0,0,ROUND($D20*I20,2))</f>
        <v>0</v>
      </c>
      <c r="O20" s="125">
        <f>+SUM(L20:N20)</f>
        <v>0</v>
      </c>
      <c r="P20" s="245">
        <v>44531</v>
      </c>
      <c r="R20" s="3"/>
    </row>
    <row r="21" spans="1:221" ht="13" x14ac:dyDescent="0.3">
      <c r="A21" s="96" t="s">
        <v>74</v>
      </c>
      <c r="B21" s="37"/>
      <c r="C21" s="37"/>
      <c r="D21" s="38"/>
      <c r="E21" s="38"/>
      <c r="F21" s="37"/>
      <c r="G21" s="37"/>
      <c r="I21" s="40"/>
      <c r="K21" s="39"/>
      <c r="L21" s="95"/>
      <c r="M21" s="54"/>
      <c r="N21" s="95">
        <f>SUM(N19:N20)</f>
        <v>10</v>
      </c>
      <c r="O21" s="95">
        <f>SUM(O19:O20)</f>
        <v>10</v>
      </c>
      <c r="R21" s="107"/>
      <c r="S21" s="108"/>
      <c r="T21" s="109"/>
      <c r="U21" s="78"/>
      <c r="V21" s="110"/>
      <c r="W21" s="78"/>
      <c r="X21" s="78"/>
      <c r="Y21" s="78"/>
      <c r="Z21" s="78"/>
      <c r="AA21" s="78"/>
      <c r="AB21" s="78"/>
      <c r="AC21" s="78"/>
      <c r="AD21" s="78"/>
    </row>
    <row r="22" spans="1:221" ht="13" x14ac:dyDescent="0.3">
      <c r="A22" s="170"/>
      <c r="B22" s="170"/>
      <c r="C22" s="170"/>
      <c r="D22" s="171"/>
      <c r="E22" s="171"/>
      <c r="F22" s="170"/>
      <c r="G22" s="171"/>
      <c r="H22" s="171"/>
      <c r="I22" s="171"/>
      <c r="J22" s="171"/>
      <c r="K22" s="172"/>
      <c r="L22" s="171"/>
      <c r="M22" s="171"/>
      <c r="N22" s="171"/>
      <c r="O22" s="171"/>
      <c r="P22" s="171"/>
      <c r="R22" s="107"/>
      <c r="S22" s="108"/>
      <c r="T22" s="109"/>
      <c r="U22" s="78"/>
      <c r="V22" s="110"/>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69</v>
      </c>
      <c r="B23" s="166"/>
      <c r="C23" s="166"/>
      <c r="D23" s="167"/>
      <c r="E23" s="167"/>
      <c r="F23" s="166"/>
      <c r="G23" s="167"/>
      <c r="H23" s="167"/>
      <c r="I23" s="167"/>
      <c r="J23" s="167"/>
      <c r="K23" s="167"/>
      <c r="L23" s="167"/>
      <c r="M23" s="167"/>
      <c r="N23" s="167"/>
      <c r="O23" s="167"/>
      <c r="P23" s="167"/>
      <c r="R23" s="107"/>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5">
      <c r="A24" s="151"/>
      <c r="B24" s="151"/>
      <c r="C24" s="151"/>
      <c r="D24" s="151"/>
      <c r="E24" s="151"/>
      <c r="F24" s="151"/>
      <c r="G24" s="151"/>
      <c r="H24" s="151"/>
      <c r="I24" s="151"/>
      <c r="J24" s="151"/>
      <c r="K24" s="151"/>
      <c r="L24" s="151"/>
      <c r="M24" s="151"/>
      <c r="N24" s="151"/>
      <c r="O24" s="151"/>
      <c r="P24" s="106"/>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5">
      <c r="A25" s="99" t="s">
        <v>78</v>
      </c>
      <c r="B25" s="176"/>
      <c r="C25" s="176"/>
      <c r="D25" s="100">
        <f>IF($C$14&lt;0,0,IF($C$14&gt;833000,833000,$C$14))</f>
        <v>0</v>
      </c>
      <c r="E25" s="101" t="s">
        <v>41</v>
      </c>
      <c r="F25" s="102" t="s">
        <v>8</v>
      </c>
      <c r="G25" s="103"/>
      <c r="H25" s="103"/>
      <c r="I25" s="103">
        <f>'Rider Rates'!$B$4</f>
        <v>5.9216E-3</v>
      </c>
      <c r="J25" s="201">
        <f t="shared" ref="J25:J44" si="0">SUM(G25:I25)</f>
        <v>5.9216E-3</v>
      </c>
      <c r="K25" s="104" t="s">
        <v>42</v>
      </c>
      <c r="L25" s="105"/>
      <c r="M25" s="105"/>
      <c r="N25" s="105">
        <f t="shared" ref="N25:N30" si="1">ROUND(D25*I25,2)</f>
        <v>0</v>
      </c>
      <c r="O25" s="105">
        <f>SUM(L25:N25)</f>
        <v>0</v>
      </c>
      <c r="P25" s="245">
        <f>'Rider Rates'!$D$4</f>
        <v>45293</v>
      </c>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99" t="s">
        <v>79</v>
      </c>
      <c r="B26" s="78"/>
      <c r="C26" s="78"/>
      <c r="D26" s="123">
        <f>IF($C$14&gt;833000,$C$14-833000,0)</f>
        <v>0</v>
      </c>
      <c r="E26" s="101" t="s">
        <v>41</v>
      </c>
      <c r="F26" s="102" t="s">
        <v>8</v>
      </c>
      <c r="G26" s="103"/>
      <c r="H26" s="103"/>
      <c r="I26" s="103">
        <f>'Rider Rates'!$B$5</f>
        <v>1.7560000000000001E-4</v>
      </c>
      <c r="J26" s="201">
        <f t="shared" si="0"/>
        <v>1.7560000000000001E-4</v>
      </c>
      <c r="K26" s="104" t="s">
        <v>42</v>
      </c>
      <c r="L26" s="105"/>
      <c r="M26" s="105"/>
      <c r="N26" s="105">
        <f t="shared" si="1"/>
        <v>0</v>
      </c>
      <c r="O26" s="105">
        <f>SUM(L26:N26)</f>
        <v>0</v>
      </c>
      <c r="P26" s="245">
        <f>'Rider Rates'!$D$4</f>
        <v>45293</v>
      </c>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96</v>
      </c>
      <c r="B27" s="78"/>
      <c r="C27" s="78"/>
      <c r="D27" s="100">
        <f>IF($C$14&lt;0,0,IF($C$14&gt;2000,2000,$C$14))</f>
        <v>0</v>
      </c>
      <c r="E27" s="101" t="s">
        <v>41</v>
      </c>
      <c r="F27" s="102" t="s">
        <v>8</v>
      </c>
      <c r="G27" s="103"/>
      <c r="H27" s="103"/>
      <c r="I27" s="177">
        <f>'Rider Rates'!$B$8</f>
        <v>4.6499999999999996E-3</v>
      </c>
      <c r="J27" s="177">
        <f t="shared" si="0"/>
        <v>4.6499999999999996E-3</v>
      </c>
      <c r="K27" s="104" t="s">
        <v>42</v>
      </c>
      <c r="L27" s="105"/>
      <c r="M27" s="105"/>
      <c r="N27" s="105">
        <f t="shared" si="1"/>
        <v>0</v>
      </c>
      <c r="O27" s="105">
        <f>SUM(L27:N27)</f>
        <v>0</v>
      </c>
      <c r="P27" s="245">
        <f>'Rider Rates'!$D$7</f>
        <v>44531</v>
      </c>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97</v>
      </c>
      <c r="B28" s="78"/>
      <c r="C28" s="78"/>
      <c r="D28" s="100">
        <f>IF($C$14&lt;=2000,0,IF($C$14=0,0,IF($C$14-2000&gt;13000,13000,$C$14-2000)))</f>
        <v>0</v>
      </c>
      <c r="E28" s="101" t="s">
        <v>41</v>
      </c>
      <c r="F28" s="102" t="s">
        <v>8</v>
      </c>
      <c r="G28" s="103"/>
      <c r="H28" s="103"/>
      <c r="I28" s="177">
        <f>'Rider Rates'!$B$9</f>
        <v>4.1900000000000001E-3</v>
      </c>
      <c r="J28" s="177">
        <f t="shared" si="0"/>
        <v>4.1900000000000001E-3</v>
      </c>
      <c r="K28" s="104" t="s">
        <v>42</v>
      </c>
      <c r="L28" s="105"/>
      <c r="M28" s="105"/>
      <c r="N28" s="105">
        <f t="shared" si="1"/>
        <v>0</v>
      </c>
      <c r="O28" s="105">
        <f>SUM(L28:N28)</f>
        <v>0</v>
      </c>
      <c r="P28" s="245">
        <f>'Rider Rates'!$D$7</f>
        <v>44531</v>
      </c>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98</v>
      </c>
      <c r="B29" s="78"/>
      <c r="C29" s="78"/>
      <c r="D29" s="100">
        <f>IF($C$14=0,0,IF($C$14-15000&gt;=0,$C$14-15000,0))</f>
        <v>0</v>
      </c>
      <c r="E29" s="101" t="s">
        <v>41</v>
      </c>
      <c r="F29" s="102" t="s">
        <v>8</v>
      </c>
      <c r="G29" s="103"/>
      <c r="H29" s="103"/>
      <c r="I29" s="177">
        <f>'Rider Rates'!$B$10</f>
        <v>3.63E-3</v>
      </c>
      <c r="J29" s="177">
        <f t="shared" si="0"/>
        <v>3.63E-3</v>
      </c>
      <c r="K29" s="104" t="s">
        <v>42</v>
      </c>
      <c r="L29" s="105"/>
      <c r="M29" s="105"/>
      <c r="N29" s="105">
        <f t="shared" si="1"/>
        <v>0</v>
      </c>
      <c r="O29" s="105">
        <f>SUM(L29:N29)</f>
        <v>0</v>
      </c>
      <c r="P29" s="245">
        <f>'Rider Rates'!$D$7</f>
        <v>44531</v>
      </c>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210" t="s">
        <v>160</v>
      </c>
      <c r="B30" s="78"/>
      <c r="C30" s="78"/>
      <c r="D30" s="100">
        <f>IF($C$14&lt;0,0,$C$14)</f>
        <v>0</v>
      </c>
      <c r="E30" s="101" t="s">
        <v>41</v>
      </c>
      <c r="F30" s="102" t="s">
        <v>8</v>
      </c>
      <c r="G30" s="103"/>
      <c r="H30" s="103"/>
      <c r="I30" s="103">
        <f>'Rider Rates'!B15</f>
        <v>0</v>
      </c>
      <c r="J30" s="103">
        <f>SUM(G30:I30)</f>
        <v>0</v>
      </c>
      <c r="K30" s="104" t="s">
        <v>42</v>
      </c>
      <c r="L30" s="105"/>
      <c r="M30" s="105"/>
      <c r="N30" s="105">
        <f t="shared" si="1"/>
        <v>0</v>
      </c>
      <c r="O30" s="105">
        <f t="shared" ref="O30:O36" si="2">SUM(L30:N30)</f>
        <v>0</v>
      </c>
      <c r="P30" s="245">
        <f>'Rider Rates'!$D$15</f>
        <v>45167</v>
      </c>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ht="13" x14ac:dyDescent="0.3">
      <c r="A31" s="241" t="s">
        <v>247</v>
      </c>
      <c r="B31" s="78"/>
      <c r="C31" s="78"/>
      <c r="D31" s="195">
        <f>$N$21</f>
        <v>10</v>
      </c>
      <c r="E31" s="101" t="s">
        <v>121</v>
      </c>
      <c r="F31" s="102" t="s">
        <v>8</v>
      </c>
      <c r="G31" s="103"/>
      <c r="H31" s="103"/>
      <c r="I31" s="178">
        <f>'Rider Rates'!$B$18</f>
        <v>0</v>
      </c>
      <c r="J31" s="178">
        <f>SUM(G31:I31)</f>
        <v>0</v>
      </c>
      <c r="K31" s="104"/>
      <c r="L31" s="105"/>
      <c r="M31" s="105"/>
      <c r="N31" s="105">
        <f>ROUND($D$31*'Rider Rates'!$B$18,2)+ROUND($D$31*'Rider Rates'!$E$18,2)</f>
        <v>0</v>
      </c>
      <c r="O31" s="105">
        <f t="shared" si="2"/>
        <v>0</v>
      </c>
      <c r="P31" s="245">
        <f>MAX('Rider Rates'!$D$18,'Rider Rates'!$F$18)</f>
        <v>44531</v>
      </c>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10" t="s">
        <v>201</v>
      </c>
      <c r="B32" s="78"/>
      <c r="C32" s="78"/>
      <c r="D32" s="100">
        <f>'Customer Info'!$B$21+'Customer Info'!$B$22-'Customer Info'!$B$23</f>
        <v>0</v>
      </c>
      <c r="E32" s="101" t="s">
        <v>41</v>
      </c>
      <c r="F32" s="102" t="s">
        <v>8</v>
      </c>
      <c r="G32" s="103">
        <f>'Rider Rates'!B21</f>
        <v>0.10589</v>
      </c>
      <c r="H32" s="103"/>
      <c r="I32" s="103"/>
      <c r="J32" s="237">
        <f>SUM(G32:H32)</f>
        <v>0.10589</v>
      </c>
      <c r="K32" s="104" t="s">
        <v>42</v>
      </c>
      <c r="L32" s="105">
        <f>ROUND(D32*G32,2)</f>
        <v>0</v>
      </c>
      <c r="M32" s="105"/>
      <c r="N32" s="105"/>
      <c r="O32" s="105">
        <f t="shared" si="2"/>
        <v>0</v>
      </c>
      <c r="P32" s="245">
        <f>'Rider Rates'!$D$29</f>
        <v>45078</v>
      </c>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241" t="s">
        <v>162</v>
      </c>
      <c r="B33" s="78"/>
      <c r="C33" s="78"/>
      <c r="D33" s="100">
        <f>'Customer Info'!$B$21+'Customer Info'!$B$22-'Customer Info'!$B$23</f>
        <v>0</v>
      </c>
      <c r="E33" s="101" t="s">
        <v>41</v>
      </c>
      <c r="F33" s="102" t="s">
        <v>8</v>
      </c>
      <c r="G33" s="103">
        <f>'Rider Rates'!$B$28</f>
        <v>3.8800000000000002E-3</v>
      </c>
      <c r="H33" s="103"/>
      <c r="I33" s="103"/>
      <c r="J33" s="237">
        <f>SUM(G33:H33)</f>
        <v>3.8800000000000002E-3</v>
      </c>
      <c r="K33" s="104" t="s">
        <v>42</v>
      </c>
      <c r="L33" s="105">
        <f>ROUND(D33*G33,2)</f>
        <v>0</v>
      </c>
      <c r="M33" s="105"/>
      <c r="N33" s="105"/>
      <c r="O33" s="105">
        <f t="shared" si="2"/>
        <v>0</v>
      </c>
      <c r="P33" s="245">
        <f>'Rider Rates'!$D$29</f>
        <v>45078</v>
      </c>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10" t="s">
        <v>202</v>
      </c>
      <c r="B34" s="78"/>
      <c r="C34" s="78"/>
      <c r="D34" s="100">
        <f>'Customer Info'!$B$21+'Customer Info'!$B$22-'Customer Info'!$B$23</f>
        <v>0</v>
      </c>
      <c r="E34" s="101" t="s">
        <v>41</v>
      </c>
      <c r="F34" s="102" t="s">
        <v>8</v>
      </c>
      <c r="G34" s="103">
        <f>'Rider Rates'!B46</f>
        <v>-4.8640000000000001E-4</v>
      </c>
      <c r="H34" s="103"/>
      <c r="I34" s="103"/>
      <c r="J34" s="237">
        <f>SUM(G34:H34)</f>
        <v>-4.8640000000000001E-4</v>
      </c>
      <c r="K34" s="104" t="s">
        <v>42</v>
      </c>
      <c r="L34" s="105">
        <f>ROUND(D34*G34,2)</f>
        <v>0</v>
      </c>
      <c r="M34" s="105"/>
      <c r="N34" s="105"/>
      <c r="O34" s="105">
        <f>SUM(L34:N34)</f>
        <v>0</v>
      </c>
      <c r="P34" s="245">
        <f>'Rider Rates'!$D$46</f>
        <v>45383</v>
      </c>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41" t="s">
        <v>220</v>
      </c>
      <c r="B35" s="78"/>
      <c r="C35" s="78"/>
      <c r="D35" s="100"/>
      <c r="E35" s="101" t="s">
        <v>114</v>
      </c>
      <c r="F35" s="102"/>
      <c r="G35" s="103"/>
      <c r="H35" s="103"/>
      <c r="I35" s="103">
        <f>'Rider Rates'!D49</f>
        <v>1.47</v>
      </c>
      <c r="J35" s="103">
        <f>SUM(G35:I35)</f>
        <v>1.47</v>
      </c>
      <c r="K35" s="104" t="s">
        <v>42</v>
      </c>
      <c r="L35" s="105"/>
      <c r="M35" s="105"/>
      <c r="N35" s="105">
        <f>J35</f>
        <v>1.47</v>
      </c>
      <c r="O35" s="105">
        <f>SUM(L35:N35)</f>
        <v>1.47</v>
      </c>
      <c r="P35" s="245">
        <f>'Rider Rates'!E49</f>
        <v>45292</v>
      </c>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198</v>
      </c>
      <c r="B36" s="78"/>
      <c r="C36" s="78"/>
      <c r="D36" s="100">
        <f>IF($C$14&lt;0,0,$C$14)</f>
        <v>0</v>
      </c>
      <c r="E36" s="113" t="s">
        <v>41</v>
      </c>
      <c r="F36" s="102" t="s">
        <v>8</v>
      </c>
      <c r="G36" s="103"/>
      <c r="H36" s="103">
        <f>'Rider Rates'!$B$56</f>
        <v>4.3837099999999997E-2</v>
      </c>
      <c r="I36" s="103"/>
      <c r="J36" s="103">
        <f>SUM(G36:I36)</f>
        <v>4.3837099999999997E-2</v>
      </c>
      <c r="K36" s="104" t="s">
        <v>42</v>
      </c>
      <c r="L36" s="105"/>
      <c r="M36" s="105">
        <f>ROUND(D36*H36,2)</f>
        <v>0</v>
      </c>
      <c r="N36" s="205"/>
      <c r="O36" s="105">
        <f t="shared" si="2"/>
        <v>0</v>
      </c>
      <c r="P36" s="245">
        <f>'Rider Rates'!$D$56</f>
        <v>45383</v>
      </c>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99" t="s">
        <v>95</v>
      </c>
      <c r="B37" s="78"/>
      <c r="C37" s="78"/>
      <c r="D37" s="100">
        <f>IF('Customer Info'!C34=TRUE,0,IF($C$14&lt;0,0,$C$14))</f>
        <v>0</v>
      </c>
      <c r="E37" s="101" t="s">
        <v>41</v>
      </c>
      <c r="F37" s="102" t="s">
        <v>8</v>
      </c>
      <c r="G37" s="103"/>
      <c r="H37" s="103"/>
      <c r="I37" s="103">
        <f>'Rider Rates'!$B$68+'Rider Rates'!$C$68</f>
        <v>0</v>
      </c>
      <c r="J37" s="103">
        <f t="shared" si="0"/>
        <v>0</v>
      </c>
      <c r="K37" s="104" t="s">
        <v>42</v>
      </c>
      <c r="L37" s="105"/>
      <c r="M37" s="105"/>
      <c r="N37" s="105">
        <f>ROUND($D$37*'Rider Rates'!$B$68,2)+ROUND($D$37*'Rider Rates'!$C$68,2)</f>
        <v>0</v>
      </c>
      <c r="O37" s="105">
        <f>SUM(L37:N37)</f>
        <v>0</v>
      </c>
      <c r="P37" s="245">
        <f>'Rider Rates'!$D$68</f>
        <v>44531</v>
      </c>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ht="13" x14ac:dyDescent="0.3">
      <c r="A38" s="99" t="s">
        <v>80</v>
      </c>
      <c r="B38" s="78"/>
      <c r="C38" s="78"/>
      <c r="D38" s="195">
        <f>$N$21</f>
        <v>10</v>
      </c>
      <c r="E38" s="101" t="s">
        <v>121</v>
      </c>
      <c r="F38" s="102" t="s">
        <v>8</v>
      </c>
      <c r="G38" s="111"/>
      <c r="H38" s="112"/>
      <c r="I38" s="120">
        <f>'Rider Rates'!$B$84</f>
        <v>2.9347000000000002E-2</v>
      </c>
      <c r="J38" s="120">
        <f t="shared" si="0"/>
        <v>2.9347000000000002E-2</v>
      </c>
      <c r="K38" s="104"/>
      <c r="L38" s="105"/>
      <c r="M38" s="105"/>
      <c r="N38" s="105">
        <f>ROUND(D38*I38,2)</f>
        <v>0.28999999999999998</v>
      </c>
      <c r="O38" s="105">
        <f>SUM(L38:N38)</f>
        <v>0.28999999999999998</v>
      </c>
      <c r="P38" s="245">
        <f>'Rider Rates'!$D$84</f>
        <v>45383</v>
      </c>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ht="13" x14ac:dyDescent="0.3">
      <c r="A39" s="99" t="s">
        <v>81</v>
      </c>
      <c r="B39" s="78"/>
      <c r="C39" s="78"/>
      <c r="D39" s="195">
        <f>$N$21</f>
        <v>10</v>
      </c>
      <c r="E39" s="101" t="s">
        <v>121</v>
      </c>
      <c r="F39" s="102" t="s">
        <v>8</v>
      </c>
      <c r="G39" s="114"/>
      <c r="H39" s="115"/>
      <c r="I39" s="120">
        <f>'Rider Rates'!$B$86</f>
        <v>6.6985699999999995E-2</v>
      </c>
      <c r="J39" s="120">
        <f t="shared" si="0"/>
        <v>6.6985699999999995E-2</v>
      </c>
      <c r="K39" s="104"/>
      <c r="L39" s="105"/>
      <c r="M39" s="105"/>
      <c r="N39" s="105">
        <f>ROUND(D39*I39,2)</f>
        <v>0.67</v>
      </c>
      <c r="O39" s="105">
        <f>SUM(L39:N39)</f>
        <v>0.67</v>
      </c>
      <c r="P39" s="245">
        <f>'Rider Rates'!$D$86</f>
        <v>45167</v>
      </c>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ht="13" x14ac:dyDescent="0.3">
      <c r="A40" s="210" t="s">
        <v>216</v>
      </c>
      <c r="B40" s="78"/>
      <c r="C40" s="78"/>
      <c r="D40" s="195"/>
      <c r="E40" s="113" t="s">
        <v>114</v>
      </c>
      <c r="F40" s="106"/>
      <c r="G40" s="114"/>
      <c r="H40" s="115"/>
      <c r="I40" s="196">
        <f>'Rider Rates'!$B$89</f>
        <v>1.95</v>
      </c>
      <c r="J40" s="196">
        <f t="shared" si="0"/>
        <v>1.95</v>
      </c>
      <c r="K40" s="104"/>
      <c r="L40" s="105"/>
      <c r="M40" s="105"/>
      <c r="N40" s="105">
        <f>I40</f>
        <v>1.95</v>
      </c>
      <c r="O40" s="105">
        <f>SUM(L40:N40)</f>
        <v>1.95</v>
      </c>
      <c r="P40" s="245">
        <f>'Rider Rates'!$D$89</f>
        <v>45259</v>
      </c>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210" t="s">
        <v>249</v>
      </c>
      <c r="B41" s="78"/>
      <c r="C41" s="78"/>
      <c r="D41" s="100">
        <f>IF($C$14&lt;0,0,$C$14)</f>
        <v>0</v>
      </c>
      <c r="E41" s="101" t="s">
        <v>41</v>
      </c>
      <c r="F41" s="102" t="s">
        <v>8</v>
      </c>
      <c r="G41" s="103"/>
      <c r="H41" s="103"/>
      <c r="I41" s="103"/>
      <c r="J41" s="103">
        <f>'Rider Rates'!$B$93</f>
        <v>0</v>
      </c>
      <c r="K41" s="104" t="s">
        <v>42</v>
      </c>
      <c r="L41" s="105"/>
      <c r="M41" s="105"/>
      <c r="N41" s="105"/>
      <c r="O41" s="105">
        <f>ROUND($D41*('Rider Rates'!B$93),2)</f>
        <v>0</v>
      </c>
      <c r="P41" s="245">
        <f>'Rider Rates'!$D$93</f>
        <v>44531</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ht="13" x14ac:dyDescent="0.3">
      <c r="A42" s="99" t="s">
        <v>157</v>
      </c>
      <c r="B42" s="78"/>
      <c r="C42" s="78"/>
      <c r="D42" s="195">
        <f>$N$21</f>
        <v>10</v>
      </c>
      <c r="E42" s="101" t="s">
        <v>121</v>
      </c>
      <c r="F42" s="102" t="s">
        <v>8</v>
      </c>
      <c r="G42" s="114"/>
      <c r="H42" s="115"/>
      <c r="I42" s="120">
        <f>'Rider Rates'!$B$104</f>
        <v>0.21398439999999999</v>
      </c>
      <c r="J42" s="120">
        <f t="shared" si="0"/>
        <v>0.21398439999999999</v>
      </c>
      <c r="K42" s="104"/>
      <c r="L42" s="105"/>
      <c r="M42" s="105"/>
      <c r="N42" s="105">
        <f>ROUND(D42*I42,2)</f>
        <v>2.14</v>
      </c>
      <c r="O42" s="105">
        <f t="shared" ref="O42:O47" si="3">SUM(L42:N42)</f>
        <v>2.14</v>
      </c>
      <c r="P42" s="245">
        <f>'Rider Rates'!$D$104</f>
        <v>45351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210" t="s">
        <v>219</v>
      </c>
      <c r="B43" s="78"/>
      <c r="C43" s="78"/>
      <c r="D43" s="195"/>
      <c r="E43" s="113" t="s">
        <v>114</v>
      </c>
      <c r="F43" s="106"/>
      <c r="G43" s="114"/>
      <c r="H43" s="115"/>
      <c r="I43" s="196">
        <f>'Rider Rates'!$B$107</f>
        <v>0</v>
      </c>
      <c r="J43" s="196">
        <f t="shared" si="0"/>
        <v>0</v>
      </c>
      <c r="K43" s="104"/>
      <c r="L43" s="105"/>
      <c r="M43" s="105"/>
      <c r="N43" s="105">
        <f>I43</f>
        <v>0</v>
      </c>
      <c r="O43" s="105">
        <f t="shared" si="3"/>
        <v>0</v>
      </c>
      <c r="P43" s="245">
        <f>'Rider Rates'!$D$107</f>
        <v>44894</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227</v>
      </c>
      <c r="B44" s="78"/>
      <c r="C44" s="78"/>
      <c r="D44" s="195"/>
      <c r="E44" s="113" t="s">
        <v>114</v>
      </c>
      <c r="F44" s="106"/>
      <c r="G44" s="114"/>
      <c r="H44" s="115"/>
      <c r="I44" s="260">
        <f>'Rider Rates'!B120</f>
        <v>1.26</v>
      </c>
      <c r="J44" s="196">
        <f t="shared" si="0"/>
        <v>1.26</v>
      </c>
      <c r="K44" s="104"/>
      <c r="L44" s="105"/>
      <c r="M44" s="105"/>
      <c r="N44" s="262">
        <f>I44</f>
        <v>1.26</v>
      </c>
      <c r="O44" s="105">
        <f t="shared" si="3"/>
        <v>1.26</v>
      </c>
      <c r="P44" s="245">
        <f>'Rider Rates'!D120</f>
        <v>45226</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x14ac:dyDescent="0.25">
      <c r="A45" s="99" t="s">
        <v>158</v>
      </c>
      <c r="B45" s="78"/>
      <c r="C45" s="78"/>
      <c r="D45" s="100">
        <f>'Customer Info'!$B$21+'Customer Info'!$B$22-'Customer Info'!$B$23</f>
        <v>0</v>
      </c>
      <c r="E45" s="101" t="s">
        <v>41</v>
      </c>
      <c r="F45" s="102" t="s">
        <v>8</v>
      </c>
      <c r="G45" s="103">
        <f>'Rider Rates'!$B$111</f>
        <v>3.8972999999999998E-3</v>
      </c>
      <c r="H45" s="103"/>
      <c r="I45" s="120"/>
      <c r="J45" s="237">
        <f>SUM(G45:H45)</f>
        <v>3.8972999999999998E-3</v>
      </c>
      <c r="K45" s="104" t="s">
        <v>42</v>
      </c>
      <c r="L45" s="105">
        <f>ROUND(D45*G45,2)</f>
        <v>0</v>
      </c>
      <c r="M45" s="105"/>
      <c r="N45" s="105"/>
      <c r="O45" s="105">
        <f t="shared" si="3"/>
        <v>0</v>
      </c>
      <c r="P45" s="245">
        <f>'Rider Rates'!$D$111</f>
        <v>44531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5">
      <c r="A46" s="210" t="s">
        <v>218</v>
      </c>
      <c r="B46" s="78"/>
      <c r="C46" s="78"/>
      <c r="D46" s="100">
        <f>IF($C$14&lt;1,0,$C$14)</f>
        <v>0</v>
      </c>
      <c r="E46" s="101" t="s">
        <v>41</v>
      </c>
      <c r="F46" s="249" t="s">
        <v>8</v>
      </c>
      <c r="G46" s="103"/>
      <c r="H46" s="103"/>
      <c r="I46" s="237">
        <f>'Rider Rates'!$B$116</f>
        <v>-2.3000000000000001E-4</v>
      </c>
      <c r="J46" s="237">
        <f>SUM(G46:I46)</f>
        <v>-2.3000000000000001E-4</v>
      </c>
      <c r="K46" s="104" t="s">
        <v>42</v>
      </c>
      <c r="L46" s="105"/>
      <c r="M46" s="105"/>
      <c r="N46" s="105">
        <f>D46*J46</f>
        <v>0</v>
      </c>
      <c r="O46" s="105">
        <f t="shared" si="3"/>
        <v>0</v>
      </c>
      <c r="P46" s="245">
        <f>'Rider Rates'!D116</f>
        <v>44531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5">
      <c r="A47" s="241" t="s">
        <v>240</v>
      </c>
      <c r="B47" s="78"/>
      <c r="C47" s="78"/>
      <c r="D47" s="100"/>
      <c r="E47" s="101" t="s">
        <v>114</v>
      </c>
      <c r="F47" s="102" t="s">
        <v>8</v>
      </c>
      <c r="G47" s="265"/>
      <c r="H47" s="265"/>
      <c r="I47" s="265">
        <f>'Rider Rates'!$B$124</f>
        <v>0.1</v>
      </c>
      <c r="J47" s="265">
        <f>SUM(G47:I47)</f>
        <v>0.1</v>
      </c>
      <c r="K47" s="104"/>
      <c r="L47" s="209"/>
      <c r="M47" s="209"/>
      <c r="N47" s="209">
        <f>J47</f>
        <v>0.1</v>
      </c>
      <c r="O47" s="209">
        <f t="shared" si="3"/>
        <v>0.1</v>
      </c>
      <c r="P47" s="266">
        <f>'Rider Rates'!$E$124</f>
        <v>44927</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41" t="s">
        <v>252</v>
      </c>
      <c r="B48" s="78"/>
      <c r="C48" s="78"/>
      <c r="D48" s="100">
        <f>C14</f>
        <v>0</v>
      </c>
      <c r="E48" s="101" t="s">
        <v>41</v>
      </c>
      <c r="F48" s="249" t="s">
        <v>8</v>
      </c>
      <c r="G48" s="103"/>
      <c r="H48" s="103"/>
      <c r="I48" s="103">
        <f>'Rider Rates'!$B$129</f>
        <v>0</v>
      </c>
      <c r="J48" s="237">
        <f>SUM(G48:I48)</f>
        <v>0</v>
      </c>
      <c r="K48" s="104" t="s">
        <v>42</v>
      </c>
      <c r="L48" s="105"/>
      <c r="M48" s="105"/>
      <c r="N48" s="105">
        <f>D48*J48</f>
        <v>0</v>
      </c>
      <c r="O48" s="105">
        <f>SUM(L48:N48)</f>
        <v>0</v>
      </c>
      <c r="P48" s="245">
        <f>'Rider Rates'!D129</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241" t="s">
        <v>251</v>
      </c>
      <c r="B49" s="78"/>
      <c r="C49" s="78"/>
      <c r="D49" s="100"/>
      <c r="E49" s="101" t="s">
        <v>114</v>
      </c>
      <c r="F49" s="102" t="s">
        <v>8</v>
      </c>
      <c r="G49" s="265"/>
      <c r="H49" s="265"/>
      <c r="I49" s="265">
        <f>'Rider Rates'!$B$136</f>
        <v>0</v>
      </c>
      <c r="J49" s="265">
        <f>SUM(G49:I49)</f>
        <v>0</v>
      </c>
      <c r="K49" s="104"/>
      <c r="L49" s="209"/>
      <c r="M49" s="209"/>
      <c r="N49" s="209">
        <f>J49</f>
        <v>0</v>
      </c>
      <c r="O49" s="209">
        <f>SUM(L49:N49)</f>
        <v>0</v>
      </c>
      <c r="P49" s="266">
        <f>'Rider Rates'!$D$132</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241" t="s">
        <v>253</v>
      </c>
      <c r="B50" s="78"/>
      <c r="C50" s="78"/>
      <c r="D50" s="100"/>
      <c r="E50" s="101"/>
      <c r="F50" s="102"/>
      <c r="G50" s="265"/>
      <c r="H50" s="265"/>
      <c r="I50" s="265"/>
      <c r="J50" s="265"/>
      <c r="K50" s="104"/>
      <c r="L50" s="209"/>
      <c r="M50" s="209"/>
      <c r="N50" s="209"/>
      <c r="O50" s="209"/>
      <c r="P50" s="266"/>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ht="13" x14ac:dyDescent="0.3">
      <c r="A51" s="179" t="s">
        <v>70</v>
      </c>
      <c r="B51" s="148"/>
      <c r="C51" s="148"/>
      <c r="D51" s="180"/>
      <c r="E51" s="181"/>
      <c r="F51" s="182"/>
      <c r="G51" s="182"/>
      <c r="H51" s="182"/>
      <c r="I51" s="182"/>
      <c r="J51" s="182"/>
      <c r="K51" s="183"/>
      <c r="L51" s="169">
        <f>SUM(L25:L50)</f>
        <v>0</v>
      </c>
      <c r="M51" s="169">
        <f>SUM(M25:M50)</f>
        <v>0</v>
      </c>
      <c r="N51" s="169">
        <f>SUM(N25:N50)</f>
        <v>7.879999999999999</v>
      </c>
      <c r="O51" s="169">
        <f>SUM(O25:O50)</f>
        <v>7.879999999999999</v>
      </c>
      <c r="P51" s="184"/>
      <c r="Q51" s="106"/>
      <c r="R51" s="166"/>
      <c r="S51" s="166"/>
      <c r="T51" s="189"/>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5">
      <c r="A52" s="78"/>
      <c r="B52" s="78"/>
      <c r="C52" s="78"/>
      <c r="D52" s="100"/>
      <c r="E52" s="113"/>
      <c r="F52" s="106"/>
      <c r="G52" s="106"/>
      <c r="H52" s="106"/>
      <c r="I52" s="106"/>
      <c r="J52" s="107"/>
      <c r="K52" s="104"/>
      <c r="L52" s="106"/>
      <c r="M52" s="106"/>
      <c r="N52" s="106"/>
      <c r="O52" s="106"/>
      <c r="P52" s="164"/>
      <c r="Q52" s="106"/>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ht="13" x14ac:dyDescent="0.3">
      <c r="A53" s="170"/>
      <c r="B53" s="170"/>
      <c r="C53" s="170"/>
      <c r="D53" s="170"/>
      <c r="E53" s="170"/>
      <c r="F53" s="170"/>
      <c r="G53" s="170"/>
      <c r="H53" s="170"/>
      <c r="I53" s="170"/>
      <c r="J53" s="170"/>
      <c r="K53" s="170"/>
      <c r="L53" s="186">
        <f>L21+L51</f>
        <v>0</v>
      </c>
      <c r="M53" s="186">
        <f>M21+M51</f>
        <v>0</v>
      </c>
      <c r="N53" s="186">
        <f>N21+N51</f>
        <v>17.88</v>
      </c>
      <c r="O53" s="187">
        <f>O21+O51</f>
        <v>17.88</v>
      </c>
      <c r="P53" s="187"/>
      <c r="Q53" s="106"/>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ht="13" x14ac:dyDescent="0.3">
      <c r="A54" s="78"/>
      <c r="B54" s="78"/>
      <c r="C54" s="78"/>
      <c r="D54" s="78"/>
      <c r="E54" s="78"/>
      <c r="F54" s="78"/>
      <c r="G54" s="78"/>
      <c r="H54" s="78"/>
      <c r="I54" s="78"/>
      <c r="J54" s="78"/>
      <c r="K54" s="78"/>
      <c r="L54" s="78"/>
      <c r="M54" s="78"/>
      <c r="N54" s="151"/>
      <c r="O54" s="151"/>
      <c r="P54" s="151"/>
      <c r="Q54" s="166"/>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ht="13" x14ac:dyDescent="0.3">
      <c r="A55" s="166" t="s">
        <v>92</v>
      </c>
      <c r="B55" s="78"/>
      <c r="C55" s="78"/>
      <c r="D55" s="78"/>
      <c r="E55" s="78"/>
      <c r="F55" s="78"/>
      <c r="G55" s="78"/>
      <c r="H55" s="78"/>
      <c r="I55" s="78"/>
      <c r="J55" s="78"/>
      <c r="K55" s="78"/>
      <c r="L55" s="78"/>
      <c r="M55" s="78"/>
      <c r="N55" s="78"/>
      <c r="O55" s="109">
        <f>IF($C$14&lt;=0,MIN(O19,O53), O19)</f>
        <v>10</v>
      </c>
      <c r="P55" s="151"/>
      <c r="Q55" s="166"/>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ht="13" x14ac:dyDescent="0.3">
      <c r="A56" s="78"/>
      <c r="B56" s="166"/>
      <c r="C56" s="166"/>
      <c r="D56" s="166"/>
      <c r="E56" s="166"/>
      <c r="F56" s="166"/>
      <c r="G56" s="166"/>
      <c r="H56" s="166"/>
      <c r="I56" s="78"/>
      <c r="J56" s="78"/>
      <c r="K56" s="78"/>
      <c r="L56" s="78"/>
      <c r="M56" s="78"/>
      <c r="N56" s="151"/>
      <c r="O56" s="151"/>
      <c r="P56" s="151"/>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ht="13" x14ac:dyDescent="0.3">
      <c r="A57" s="148" t="s">
        <v>116</v>
      </c>
      <c r="B57" s="151"/>
      <c r="C57" s="151"/>
      <c r="D57" s="151"/>
      <c r="E57" s="151"/>
      <c r="F57" s="151"/>
      <c r="G57" s="151"/>
      <c r="H57" s="151"/>
      <c r="I57" s="151"/>
      <c r="J57" s="151"/>
      <c r="K57" s="151"/>
      <c r="L57" s="151"/>
      <c r="M57" s="151"/>
      <c r="N57" s="151"/>
      <c r="O57" s="190">
        <f>IF($C$14&lt;0,O53,IF(O53&gt;O55,O53,I52))</f>
        <v>17.88</v>
      </c>
      <c r="P57" s="160"/>
      <c r="Q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78"/>
      <c r="B58" s="151"/>
      <c r="C58" s="151"/>
      <c r="D58" s="151"/>
      <c r="E58" s="151"/>
      <c r="F58" s="151"/>
      <c r="G58" s="151"/>
      <c r="H58" s="151"/>
      <c r="I58" s="151"/>
      <c r="J58" s="151"/>
      <c r="K58" s="151"/>
      <c r="L58" s="151"/>
      <c r="M58" s="151"/>
      <c r="N58" s="151"/>
      <c r="O58" s="138"/>
      <c r="P58" s="160"/>
      <c r="Q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3" x14ac:dyDescent="0.3">
      <c r="A59" s="78"/>
      <c r="B59" s="166"/>
      <c r="C59" s="166"/>
      <c r="D59" s="166"/>
      <c r="E59" s="166"/>
      <c r="F59" s="166"/>
      <c r="G59" s="166"/>
      <c r="H59" s="166"/>
      <c r="I59" s="166" t="s">
        <v>120</v>
      </c>
      <c r="J59" s="166"/>
      <c r="K59" s="166"/>
      <c r="L59" s="191"/>
      <c r="M59" s="191"/>
      <c r="N59" s="191"/>
      <c r="O59" s="191">
        <f>ROUND(IF($C$14&lt;1,0,O53/($C$14*100)*10000),2)</f>
        <v>0</v>
      </c>
      <c r="P59" s="37" t="s">
        <v>86</v>
      </c>
      <c r="Q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row>
    <row r="60" spans="1:236" ht="13" x14ac:dyDescent="0.3">
      <c r="A60" s="78"/>
      <c r="B60" s="78"/>
      <c r="C60" s="78"/>
      <c r="D60" s="78"/>
      <c r="E60" s="78"/>
      <c r="F60" s="78"/>
      <c r="G60" s="78"/>
      <c r="H60" s="192"/>
      <c r="I60" s="242" t="s">
        <v>199</v>
      </c>
      <c r="J60" s="78"/>
      <c r="K60" s="78"/>
      <c r="L60" s="78"/>
      <c r="M60" s="78"/>
      <c r="N60" s="78"/>
      <c r="O60" s="243">
        <f>ROUND(IF($C$14&lt;1,0,(L53)/($C$14*100)*10000),2)</f>
        <v>0</v>
      </c>
      <c r="P60" s="25" t="s">
        <v>86</v>
      </c>
      <c r="Q60" s="78"/>
      <c r="AE60" s="78"/>
      <c r="AF60" s="78"/>
      <c r="AG60" s="78"/>
      <c r="AH60" s="78"/>
      <c r="AI60" s="78"/>
      <c r="AJ60" s="78"/>
      <c r="AK60" s="78"/>
      <c r="AL60" s="78"/>
      <c r="AM60" s="78"/>
      <c r="AN60" s="78"/>
      <c r="AO60" s="78"/>
      <c r="AP60" s="78"/>
      <c r="AQ60" s="78"/>
      <c r="AR60" s="78"/>
      <c r="AS60" s="78"/>
      <c r="AT60" s="78"/>
      <c r="HE60" s="78"/>
      <c r="HF60" s="78"/>
      <c r="HG60" s="78"/>
      <c r="HH60" s="78"/>
      <c r="HI60" s="78"/>
      <c r="HJ60" s="78"/>
      <c r="HK60" s="78"/>
      <c r="HL60" s="78"/>
      <c r="HM60" s="78"/>
      <c r="HN60" s="78"/>
    </row>
    <row r="61" spans="1:236" x14ac:dyDescent="0.25">
      <c r="A61" s="78"/>
    </row>
    <row r="62" spans="1:236" x14ac:dyDescent="0.25">
      <c r="A62" s="78"/>
    </row>
    <row r="63" spans="1:236" x14ac:dyDescent="0.25">
      <c r="A63" s="78"/>
    </row>
    <row r="64" spans="1:236" x14ac:dyDescent="0.25">
      <c r="A64" s="78"/>
    </row>
    <row r="65" spans="1:1" x14ac:dyDescent="0.25">
      <c r="A65" s="78"/>
    </row>
    <row r="66" spans="1:1" x14ac:dyDescent="0.25">
      <c r="A66" s="78"/>
    </row>
  </sheetData>
  <sheetProtection algorithmName="SHA-512" hashValue="zUqr9MXc6390bmE/YxWm3DrYzoxPKTm5bheH7/5CWZGgIIuEXHTiy5wB+TMULX68RocOc1W9y7R8t5IqpQOc7Q==" saltValue="1+mVzgFADgBoZ/BLDV7CvA==" spinCount="100000" sheet="1" objects="1" scenarios="1"/>
  <mergeCells count="9">
    <mergeCell ref="G17:J17"/>
    <mergeCell ref="L17:O17"/>
    <mergeCell ref="A11:I11"/>
    <mergeCell ref="A1:P1"/>
    <mergeCell ref="A2:P2"/>
    <mergeCell ref="A3:P3"/>
    <mergeCell ref="A4:P4"/>
    <mergeCell ref="B5:O5"/>
    <mergeCell ref="A6:K6"/>
  </mergeCells>
  <phoneticPr fontId="0" type="noConversion"/>
  <printOptions horizontalCentered="1"/>
  <pageMargins left="0" right="0" top="0.5" bottom="0.5" header="0.5" footer="0.5"/>
  <pageSetup scale="57"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47107" r:id="rId5"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47108" r:id="rId6"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dimension ref="A1:IB93"/>
  <sheetViews>
    <sheetView showGridLines="0" topLeftCell="A36" zoomScale="80" zoomScaleNormal="80" workbookViewId="0">
      <selection activeCell="C9" sqref="C9"/>
    </sheetView>
  </sheetViews>
  <sheetFormatPr defaultRowHeight="12.5" x14ac:dyDescent="0.25"/>
  <cols>
    <col min="1" max="1" width="39" customWidth="1"/>
    <col min="2" max="2" width="2.54296875" customWidth="1"/>
    <col min="3" max="3" width="13.54296875" customWidth="1"/>
    <col min="4" max="4" width="15.26953125" customWidth="1"/>
    <col min="5" max="5" width="9.7265625" customWidth="1"/>
    <col min="6" max="6" width="2.7265625" customWidth="1"/>
    <col min="7" max="8" width="13.26953125" customWidth="1"/>
    <col min="9" max="9" width="14.54296875" customWidth="1"/>
    <col min="10" max="10" width="13.26953125" customWidth="1"/>
    <col min="11" max="11" width="6.54296875" customWidth="1"/>
    <col min="12" max="12" width="15.1796875" customWidth="1"/>
    <col min="13" max="13" width="17.26953125" bestFit="1" customWidth="1"/>
    <col min="14" max="14" width="17.453125" customWidth="1"/>
    <col min="15" max="15" width="17.26953125" bestFit="1" customWidth="1"/>
    <col min="16" max="16" width="13" customWidth="1"/>
    <col min="17" max="17" width="12.81640625" bestFit="1" customWidth="1"/>
    <col min="18" max="18" width="10.54296875" hidden="1" customWidth="1"/>
    <col min="19" max="19" width="10.26953125" hidden="1" customWidth="1"/>
    <col min="20" max="23" width="10.81640625" hidden="1" customWidth="1"/>
    <col min="24" max="26" width="10.26953125" hidden="1" customWidth="1"/>
    <col min="27" max="27" width="10.54296875" hidden="1" customWidth="1"/>
    <col min="28" max="28" width="10.81640625" hidden="1" customWidth="1"/>
    <col min="29" max="30" width="10" hidden="1" customWidth="1"/>
    <col min="31" max="31" width="9.1796875" customWidth="1"/>
    <col min="32" max="32" width="10.26953125" customWidth="1"/>
    <col min="33" max="33" width="10.81640625" customWidth="1"/>
    <col min="34" max="34" width="10.26953125" customWidth="1"/>
  </cols>
  <sheetData>
    <row r="1" spans="1:59" ht="20" x14ac:dyDescent="0.4">
      <c r="A1" s="436" t="s">
        <v>119</v>
      </c>
      <c r="B1" s="436"/>
      <c r="C1" s="436"/>
      <c r="D1" s="436"/>
      <c r="E1" s="436"/>
      <c r="F1" s="436"/>
      <c r="G1" s="436"/>
      <c r="H1" s="436"/>
      <c r="I1" s="436"/>
      <c r="J1" s="436"/>
      <c r="K1" s="436"/>
      <c r="L1" s="436"/>
      <c r="M1" s="436"/>
      <c r="N1" s="436"/>
      <c r="O1" s="436"/>
      <c r="P1" s="436"/>
      <c r="Q1" s="197"/>
    </row>
    <row r="2" spans="1:59" ht="20" x14ac:dyDescent="0.4">
      <c r="A2" s="436" t="s">
        <v>122</v>
      </c>
      <c r="B2" s="436"/>
      <c r="C2" s="436"/>
      <c r="D2" s="436"/>
      <c r="E2" s="436"/>
      <c r="F2" s="436"/>
      <c r="G2" s="436"/>
      <c r="H2" s="436"/>
      <c r="I2" s="436"/>
      <c r="J2" s="436"/>
      <c r="K2" s="436"/>
      <c r="L2" s="436"/>
      <c r="M2" s="436"/>
      <c r="N2" s="436"/>
      <c r="O2" s="436"/>
      <c r="P2" s="436"/>
    </row>
    <row r="3" spans="1:59" ht="18" x14ac:dyDescent="0.4">
      <c r="A3" s="452" t="s">
        <v>115</v>
      </c>
      <c r="B3" s="452"/>
      <c r="C3" s="452"/>
      <c r="D3" s="452"/>
      <c r="E3" s="452"/>
      <c r="F3" s="452"/>
      <c r="G3" s="452"/>
      <c r="H3" s="452"/>
      <c r="I3" s="452"/>
      <c r="J3" s="452"/>
      <c r="K3" s="452"/>
      <c r="L3" s="452"/>
      <c r="M3" s="452"/>
      <c r="N3" s="452"/>
      <c r="O3" s="452"/>
      <c r="P3" s="452"/>
      <c r="Q3" s="198"/>
    </row>
    <row r="4" spans="1:59" ht="15.5" x14ac:dyDescent="0.35">
      <c r="A4" s="437" t="str">
        <f>'Customer Info'!$B$11</f>
        <v>Breakdown of Charges Based on Entered Information</v>
      </c>
      <c r="B4" s="437"/>
      <c r="C4" s="437"/>
      <c r="D4" s="437"/>
      <c r="E4" s="437"/>
      <c r="F4" s="437"/>
      <c r="G4" s="437"/>
      <c r="H4" s="437"/>
      <c r="I4" s="437"/>
      <c r="J4" s="437"/>
      <c r="K4" s="437"/>
      <c r="L4" s="437"/>
      <c r="M4" s="437"/>
      <c r="N4" s="437"/>
      <c r="O4" s="437"/>
      <c r="P4" s="437"/>
      <c r="Q4" s="199"/>
    </row>
    <row r="5" spans="1:59" ht="15.5" x14ac:dyDescent="0.35">
      <c r="A5" s="75"/>
      <c r="B5" s="75"/>
      <c r="C5" s="75"/>
      <c r="D5" s="75"/>
      <c r="E5" s="75"/>
      <c r="F5" s="75"/>
      <c r="G5" s="75"/>
      <c r="H5" s="75"/>
      <c r="I5" s="75"/>
      <c r="J5" s="75"/>
      <c r="K5" s="75"/>
      <c r="L5" s="75"/>
      <c r="M5" s="75"/>
      <c r="N5" s="75"/>
      <c r="O5" s="75"/>
      <c r="P5" s="75"/>
      <c r="Q5" s="75"/>
    </row>
    <row r="6" spans="1:59" x14ac:dyDescent="0.25">
      <c r="A6" s="76">
        <f ca="1">TODAY()</f>
        <v>45378</v>
      </c>
      <c r="B6" s="444" t="s">
        <v>230</v>
      </c>
      <c r="C6" s="444"/>
      <c r="D6" s="444"/>
      <c r="E6" s="444"/>
      <c r="F6" s="444"/>
      <c r="G6" s="444"/>
      <c r="H6" s="444"/>
      <c r="I6" s="444"/>
      <c r="J6" s="444"/>
      <c r="K6" s="444"/>
      <c r="L6" s="444"/>
      <c r="M6" s="444"/>
      <c r="N6" s="444"/>
      <c r="O6" s="444"/>
    </row>
    <row r="7" spans="1:59" x14ac:dyDescent="0.25">
      <c r="A7" s="435" t="s">
        <v>15</v>
      </c>
      <c r="B7" s="435"/>
      <c r="C7" s="435"/>
      <c r="D7" s="435"/>
      <c r="E7" s="435"/>
      <c r="F7" s="435"/>
      <c r="G7" s="435"/>
      <c r="H7" s="435"/>
      <c r="I7" s="435"/>
      <c r="J7" s="435"/>
      <c r="K7" s="435"/>
    </row>
    <row r="8" spans="1:59" x14ac:dyDescent="0.25">
      <c r="C8" s="18"/>
      <c r="D8" s="18"/>
      <c r="E8" s="18"/>
      <c r="F8" s="18"/>
      <c r="G8" s="18"/>
      <c r="H8" s="18"/>
      <c r="I8" s="18"/>
      <c r="J8" s="18"/>
      <c r="K8" s="18"/>
    </row>
    <row r="9" spans="1:59" ht="15.5" x14ac:dyDescent="0.35">
      <c r="A9" s="23" t="s">
        <v>2</v>
      </c>
      <c r="B9" s="24"/>
      <c r="C9" s="25">
        <f>'Customer Info'!B7</f>
        <v>0</v>
      </c>
      <c r="I9" s="26"/>
    </row>
    <row r="10" spans="1:59" ht="15.5" x14ac:dyDescent="0.35">
      <c r="A10" s="27" t="s">
        <v>26</v>
      </c>
      <c r="B10" s="24"/>
      <c r="C10" s="25">
        <f>'Customer Info'!B8</f>
        <v>0</v>
      </c>
    </row>
    <row r="11" spans="1:59" ht="13" x14ac:dyDescent="0.3">
      <c r="A11" s="23" t="s">
        <v>99</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ht="13" x14ac:dyDescent="0.3">
      <c r="A12" s="142"/>
      <c r="B12" s="143"/>
      <c r="C12" s="144"/>
      <c r="D12" s="144"/>
      <c r="E12" s="144"/>
      <c r="F12" s="144"/>
      <c r="G12" s="144"/>
      <c r="H12" s="144"/>
      <c r="I12" s="144"/>
      <c r="J12" s="144"/>
      <c r="K12" s="144"/>
      <c r="L12" s="144"/>
      <c r="M12" s="144"/>
      <c r="N12" s="144"/>
      <c r="O12" s="144"/>
      <c r="P12" s="144"/>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59" ht="15.5" x14ac:dyDescent="0.35">
      <c r="A13" s="148" t="s">
        <v>27</v>
      </c>
      <c r="B13" s="149"/>
      <c r="C13" s="150"/>
      <c r="D13" s="78"/>
      <c r="E13" s="78"/>
      <c r="F13" s="78"/>
      <c r="G13" s="78"/>
      <c r="H13" s="78"/>
      <c r="I13" s="78"/>
      <c r="J13" s="151"/>
      <c r="K13" s="151"/>
      <c r="L13" s="151"/>
      <c r="M13" s="151"/>
      <c r="N13" s="151"/>
      <c r="O13" s="151"/>
      <c r="P13" s="151"/>
      <c r="R13" s="78" t="s">
        <v>184</v>
      </c>
      <c r="S13" s="246" t="e">
        <f>'Rider Rates'!#REF!</f>
        <v>#REF!</v>
      </c>
      <c r="T13" s="246" t="e">
        <f>'Rider Rates'!#REF!</f>
        <v>#REF!</v>
      </c>
      <c r="U13" s="246" t="e">
        <f>'Rider Rates'!#REF!</f>
        <v>#REF!</v>
      </c>
      <c r="V13" s="246" t="e">
        <f>'Rider Rates'!#REF!</f>
        <v>#REF!</v>
      </c>
      <c r="W13" s="246" t="e">
        <f>'Rider Rates'!#REF!</f>
        <v>#REF!</v>
      </c>
      <c r="X13" s="246" t="e">
        <f>'Rider Rates'!#REF!</f>
        <v>#REF!</v>
      </c>
      <c r="Y13" s="246" t="e">
        <f>'Rider Rates'!#REF!</f>
        <v>#REF!</v>
      </c>
      <c r="Z13" s="246" t="e">
        <f>'Rider Rates'!#REF!</f>
        <v>#REF!</v>
      </c>
      <c r="AA13" s="246" t="e">
        <f>'Rider Rates'!#REF!</f>
        <v>#REF!</v>
      </c>
      <c r="AB13" s="246" t="e">
        <f>'Rider Rates'!#REF!</f>
        <v>#REF!</v>
      </c>
      <c r="AC13" s="246" t="e">
        <f>'Rider Rates'!#REF!</f>
        <v>#REF!</v>
      </c>
      <c r="AD13" s="246" t="e">
        <f>'Rider Rates'!#REF!</f>
        <v>#REF!</v>
      </c>
      <c r="AE13" s="78"/>
    </row>
    <row r="14" spans="1:59" x14ac:dyDescent="0.25">
      <c r="A14" s="78"/>
      <c r="B14" s="78"/>
      <c r="C14" s="78"/>
      <c r="D14" s="78"/>
      <c r="E14" s="78"/>
      <c r="F14" s="78"/>
      <c r="G14" s="139" t="s">
        <v>15</v>
      </c>
      <c r="H14" s="139"/>
      <c r="I14" s="152" t="s">
        <v>15</v>
      </c>
      <c r="J14" s="151"/>
      <c r="K14" s="151"/>
      <c r="L14" s="151"/>
      <c r="M14" s="151"/>
      <c r="N14" s="151"/>
      <c r="O14" s="151"/>
      <c r="P14" s="151"/>
      <c r="Q14" s="78"/>
      <c r="R14" s="78" t="s">
        <v>185</v>
      </c>
      <c r="S14" s="246" t="e">
        <f>'Rider Rates'!#REF!</f>
        <v>#REF!</v>
      </c>
      <c r="T14" s="246" t="e">
        <f>'Rider Rates'!#REF!</f>
        <v>#REF!</v>
      </c>
      <c r="U14" s="246" t="e">
        <f>'Rider Rates'!#REF!</f>
        <v>#REF!</v>
      </c>
      <c r="V14" s="246" t="e">
        <f>'Rider Rates'!#REF!</f>
        <v>#REF!</v>
      </c>
      <c r="W14" s="246" t="e">
        <f>'Rider Rates'!#REF!</f>
        <v>#REF!</v>
      </c>
      <c r="X14" s="246" t="e">
        <f>'Rider Rates'!#REF!</f>
        <v>#REF!</v>
      </c>
      <c r="Y14" s="246" t="e">
        <f>'Rider Rates'!#REF!</f>
        <v>#REF!</v>
      </c>
      <c r="Z14" s="246" t="e">
        <f>'Rider Rates'!#REF!</f>
        <v>#REF!</v>
      </c>
      <c r="AA14" s="246" t="e">
        <f>'Rider Rates'!#REF!</f>
        <v>#REF!</v>
      </c>
      <c r="AB14" s="246" t="e">
        <f>'Rider Rates'!#REF!</f>
        <v>#REF!</v>
      </c>
      <c r="AC14" s="246" t="e">
        <f>'Rider Rates'!#REF!</f>
        <v>#REF!</v>
      </c>
      <c r="AD14" s="246" t="e">
        <f>'Rider Rates'!#REF!</f>
        <v>#REF!</v>
      </c>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5">
      <c r="A15" s="78"/>
      <c r="B15" s="78"/>
      <c r="C15" s="78"/>
      <c r="D15" s="78"/>
      <c r="E15" s="78"/>
      <c r="F15" s="78"/>
      <c r="G15" s="78"/>
      <c r="H15" s="78"/>
      <c r="I15" s="78"/>
      <c r="J15" s="151"/>
      <c r="K15" s="151"/>
      <c r="L15" s="151"/>
      <c r="M15" s="151"/>
      <c r="N15" s="151"/>
      <c r="O15" s="151"/>
      <c r="P15" s="151"/>
      <c r="Q15" s="78"/>
      <c r="R15" s="210" t="s">
        <v>196</v>
      </c>
      <c r="S15" s="78">
        <f>'Rider Rates'!$C$21</f>
        <v>0.10589</v>
      </c>
      <c r="T15" s="78">
        <f>'Rider Rates'!$C$21</f>
        <v>0.10589</v>
      </c>
      <c r="U15" s="78">
        <f>'Rider Rates'!$C$21</f>
        <v>0.10589</v>
      </c>
      <c r="V15" s="78">
        <f>'Rider Rates'!$C$21</f>
        <v>0.10589</v>
      </c>
      <c r="W15" s="78">
        <f>'Rider Rates'!$C$21</f>
        <v>0.10589</v>
      </c>
      <c r="X15" s="78">
        <f>'Rider Rates'!$B$21</f>
        <v>0.10589</v>
      </c>
      <c r="Y15" s="78">
        <f>'Rider Rates'!$B$21</f>
        <v>0.10589</v>
      </c>
      <c r="Z15" s="78">
        <f>'Rider Rates'!$B$21</f>
        <v>0.10589</v>
      </c>
      <c r="AA15" s="78">
        <f>'Rider Rates'!$B$21</f>
        <v>0.10589</v>
      </c>
      <c r="AB15" s="78">
        <f>'Rider Rates'!$C$21</f>
        <v>0.10589</v>
      </c>
      <c r="AC15" s="78">
        <f>'Rider Rates'!$C$21</f>
        <v>0.10589</v>
      </c>
      <c r="AD15" s="78">
        <f>'Rider Rates'!$C$21</f>
        <v>0.10589</v>
      </c>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5">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5">
      <c r="A17" s="153" t="s">
        <v>51</v>
      </c>
      <c r="B17" s="78"/>
      <c r="D17" s="154">
        <f>IF('Customer Info'!B21+'Customer Info'!B22-'Customer Info'!B23&lt;0,0,'Customer Info'!B21+'Customer Info'!B22-'Customer Info'!B23)</f>
        <v>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5">
      <c r="A18" s="153" t="s">
        <v>231</v>
      </c>
      <c r="B18" s="78"/>
      <c r="C18" s="154"/>
      <c r="D18" s="263">
        <f>'Customer Info'!B21</f>
        <v>0</v>
      </c>
      <c r="E18" s="78" t="s">
        <v>41</v>
      </c>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5">
      <c r="A19" s="153" t="s">
        <v>232</v>
      </c>
      <c r="B19" s="78"/>
      <c r="C19" s="154"/>
      <c r="D19" s="263">
        <f>'Customer Info'!B22</f>
        <v>0</v>
      </c>
      <c r="E19" s="78" t="s">
        <v>41</v>
      </c>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5">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5">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ht="13" x14ac:dyDescent="0.3">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31</v>
      </c>
      <c r="B23" s="78"/>
      <c r="C23" s="78"/>
      <c r="D23" s="78"/>
      <c r="E23" s="78"/>
      <c r="F23" s="78"/>
      <c r="G23" s="441" t="s">
        <v>67</v>
      </c>
      <c r="H23" s="442"/>
      <c r="I23" s="442"/>
      <c r="J23" s="443"/>
      <c r="K23" s="159"/>
      <c r="L23" s="438" t="s">
        <v>68</v>
      </c>
      <c r="M23" s="439"/>
      <c r="N23" s="439"/>
      <c r="O23" s="440"/>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ht="13" x14ac:dyDescent="0.3">
      <c r="A24" s="78"/>
      <c r="B24" s="78"/>
      <c r="C24" s="78"/>
      <c r="D24" s="78"/>
      <c r="E24" s="78"/>
      <c r="F24" s="78"/>
      <c r="G24" s="115" t="s">
        <v>64</v>
      </c>
      <c r="H24" s="115" t="s">
        <v>65</v>
      </c>
      <c r="I24" s="115" t="s">
        <v>66</v>
      </c>
      <c r="J24" s="115" t="s">
        <v>34</v>
      </c>
      <c r="K24" s="78"/>
      <c r="L24" s="146" t="s">
        <v>64</v>
      </c>
      <c r="M24" s="146" t="s">
        <v>65</v>
      </c>
      <c r="N24" s="146" t="s">
        <v>66</v>
      </c>
      <c r="O24" s="146" t="s">
        <v>34</v>
      </c>
      <c r="P24" s="161" t="s">
        <v>56</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5">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5">
      <c r="A26" s="78" t="s">
        <v>186</v>
      </c>
      <c r="B26" s="78"/>
      <c r="C26" s="78"/>
      <c r="D26" s="1">
        <f>MAX($D$17,0)</f>
        <v>0</v>
      </c>
      <c r="E26" s="101" t="s">
        <v>41</v>
      </c>
      <c r="F26" s="106" t="s">
        <v>8</v>
      </c>
      <c r="G26" s="247"/>
      <c r="H26" s="163"/>
      <c r="I26" s="165">
        <v>2.6312499999999999E-2</v>
      </c>
      <c r="J26" s="103">
        <f>SUM(G26:I26)</f>
        <v>2.6312499999999999E-2</v>
      </c>
      <c r="K26" s="108" t="s">
        <v>91</v>
      </c>
      <c r="L26" s="105"/>
      <c r="M26" s="105"/>
      <c r="N26" s="105">
        <f>ROUND($D26*I26,2)</f>
        <v>0</v>
      </c>
      <c r="O26" s="250">
        <f>SUM(L26:N26)</f>
        <v>0</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ht="13" x14ac:dyDescent="0.3">
      <c r="A27" s="166" t="s">
        <v>50</v>
      </c>
      <c r="B27" s="166"/>
      <c r="C27" s="166"/>
      <c r="D27" s="167"/>
      <c r="E27" s="167"/>
      <c r="F27" s="166"/>
      <c r="G27" s="167"/>
      <c r="H27" s="167"/>
      <c r="I27" s="167"/>
      <c r="J27" s="167"/>
      <c r="K27" s="168"/>
      <c r="L27" s="169"/>
      <c r="M27" s="169"/>
      <c r="N27" s="169">
        <f>SUM(N25:N26)</f>
        <v>10</v>
      </c>
      <c r="O27" s="169">
        <f>SUM(O25:O26)</f>
        <v>10</v>
      </c>
      <c r="P27" s="160"/>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ht="13" x14ac:dyDescent="0.3">
      <c r="A28" s="170"/>
      <c r="B28" s="170"/>
      <c r="C28" s="170"/>
      <c r="D28" s="171"/>
      <c r="E28" s="171"/>
      <c r="F28" s="170"/>
      <c r="G28" s="171"/>
      <c r="H28" s="171"/>
      <c r="I28" s="171"/>
      <c r="J28" s="171"/>
      <c r="K28" s="172"/>
      <c r="L28" s="171"/>
      <c r="M28" s="171"/>
      <c r="N28" s="171"/>
      <c r="O28" s="171"/>
      <c r="P28" s="173"/>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ht="13" x14ac:dyDescent="0.3">
      <c r="A29" s="148" t="s">
        <v>69</v>
      </c>
      <c r="B29" s="166"/>
      <c r="C29" s="166"/>
      <c r="D29" s="167"/>
      <c r="E29" s="167"/>
      <c r="F29" s="166"/>
      <c r="G29" s="167"/>
      <c r="H29" s="167"/>
      <c r="I29" s="167"/>
      <c r="J29" s="167"/>
      <c r="K29" s="167"/>
      <c r="L29" s="167"/>
      <c r="M29" s="167"/>
      <c r="N29" s="167"/>
      <c r="O29" s="167"/>
      <c r="P29" s="160"/>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151"/>
      <c r="B30" s="151"/>
      <c r="C30" s="151"/>
      <c r="D30" s="151"/>
      <c r="E30" s="151"/>
      <c r="F30" s="151"/>
      <c r="G30" s="151"/>
      <c r="H30" s="151"/>
      <c r="I30" s="151"/>
      <c r="J30" s="151"/>
      <c r="K30" s="151"/>
      <c r="L30" s="151"/>
      <c r="M30" s="151"/>
      <c r="N30" s="151"/>
      <c r="O30" s="151"/>
      <c r="P30" s="174"/>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78</v>
      </c>
      <c r="B31" s="176"/>
      <c r="C31" s="176"/>
      <c r="D31" s="100">
        <f>IF($D$17&lt;0,0,IF($D$17&gt;833000,833000,$D$17))</f>
        <v>0</v>
      </c>
      <c r="E31" s="101" t="s">
        <v>41</v>
      </c>
      <c r="F31" s="102" t="s">
        <v>8</v>
      </c>
      <c r="G31" s="103"/>
      <c r="H31" s="103"/>
      <c r="I31" s="103">
        <f>'Rider Rates'!$B$4</f>
        <v>5.9216E-3</v>
      </c>
      <c r="J31" s="103">
        <f t="shared" ref="J31:J37" si="0">SUM(G31:I31)</f>
        <v>5.9216E-3</v>
      </c>
      <c r="K31" s="104" t="s">
        <v>42</v>
      </c>
      <c r="L31" s="105"/>
      <c r="M31" s="105"/>
      <c r="N31" s="105">
        <f t="shared" ref="N31:N36" si="1">ROUND(D31*I31,2)</f>
        <v>0</v>
      </c>
      <c r="O31" s="250">
        <f t="shared" ref="O31:O53" si="2">SUM(L31:N31)</f>
        <v>0</v>
      </c>
      <c r="P31" s="245">
        <f>'Rider Rates'!$D$4</f>
        <v>45293</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99" t="s">
        <v>79</v>
      </c>
      <c r="B32" s="78"/>
      <c r="C32" s="78"/>
      <c r="D32" s="123">
        <f>IF($D$17&gt;833000,$D$17-833000,0)</f>
        <v>0</v>
      </c>
      <c r="E32" s="101" t="s">
        <v>41</v>
      </c>
      <c r="F32" s="102" t="s">
        <v>8</v>
      </c>
      <c r="G32" s="103"/>
      <c r="H32" s="103"/>
      <c r="I32" s="103">
        <f>'Rider Rates'!$B$5</f>
        <v>1.7560000000000001E-4</v>
      </c>
      <c r="J32" s="103">
        <f t="shared" si="0"/>
        <v>1.7560000000000001E-4</v>
      </c>
      <c r="K32" s="104" t="s">
        <v>42</v>
      </c>
      <c r="L32" s="105"/>
      <c r="M32" s="105"/>
      <c r="N32" s="105">
        <f t="shared" si="1"/>
        <v>0</v>
      </c>
      <c r="O32" s="105">
        <f t="shared" si="2"/>
        <v>0</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99" t="s">
        <v>96</v>
      </c>
      <c r="B33" s="78"/>
      <c r="C33" s="78"/>
      <c r="D33" s="100">
        <f>IF($D$17&lt;0,0,IF($D$17&gt;2000,2000,$D$17))</f>
        <v>0</v>
      </c>
      <c r="E33" s="101" t="s">
        <v>41</v>
      </c>
      <c r="F33" s="102" t="s">
        <v>8</v>
      </c>
      <c r="G33" s="103"/>
      <c r="H33" s="103"/>
      <c r="I33" s="177">
        <f>'Rider Rates'!$B$8</f>
        <v>4.6499999999999996E-3</v>
      </c>
      <c r="J33" s="177">
        <f t="shared" si="0"/>
        <v>4.6499999999999996E-3</v>
      </c>
      <c r="K33" s="104" t="s">
        <v>42</v>
      </c>
      <c r="L33" s="105"/>
      <c r="M33" s="105"/>
      <c r="N33" s="105">
        <f t="shared" si="1"/>
        <v>0</v>
      </c>
      <c r="O33" s="105">
        <f t="shared" si="2"/>
        <v>0</v>
      </c>
      <c r="P33" s="245">
        <f>'Rider Rates'!$D$7</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99" t="s">
        <v>97</v>
      </c>
      <c r="B34" s="78"/>
      <c r="C34" s="78"/>
      <c r="D34" s="100">
        <f>IF($D$17&lt;=2000,0,IF($D$17=0,0,IF($D$17-2000&gt;13000,13000,$D$17-2000)))</f>
        <v>0</v>
      </c>
      <c r="E34" s="101" t="s">
        <v>41</v>
      </c>
      <c r="F34" s="102" t="s">
        <v>8</v>
      </c>
      <c r="G34" s="103"/>
      <c r="H34" s="103"/>
      <c r="I34" s="177">
        <f>'Rider Rates'!$B$9</f>
        <v>4.1900000000000001E-3</v>
      </c>
      <c r="J34" s="177">
        <f t="shared" si="0"/>
        <v>4.1900000000000001E-3</v>
      </c>
      <c r="K34" s="104" t="s">
        <v>42</v>
      </c>
      <c r="L34" s="105"/>
      <c r="M34" s="105"/>
      <c r="N34" s="105">
        <f t="shared" si="1"/>
        <v>0</v>
      </c>
      <c r="O34" s="105">
        <f t="shared" si="2"/>
        <v>0</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99" t="s">
        <v>98</v>
      </c>
      <c r="B35" s="78"/>
      <c r="C35" s="78"/>
      <c r="D35" s="100">
        <f>IF($D$17=0,0,IF($D$17-15000&gt;=0,$D$17-15000,0))</f>
        <v>0</v>
      </c>
      <c r="E35" s="101" t="s">
        <v>41</v>
      </c>
      <c r="F35" s="102" t="s">
        <v>8</v>
      </c>
      <c r="G35" s="103"/>
      <c r="H35" s="103"/>
      <c r="I35" s="177">
        <f>'Rider Rates'!$B$10</f>
        <v>3.63E-3</v>
      </c>
      <c r="J35" s="177">
        <f t="shared" si="0"/>
        <v>3.63E-3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160</v>
      </c>
      <c r="B36" s="78"/>
      <c r="C36" s="78"/>
      <c r="D36" s="100">
        <f>IF($D$17&lt;0,0,$D$17)</f>
        <v>0</v>
      </c>
      <c r="E36" s="101" t="s">
        <v>41</v>
      </c>
      <c r="F36" s="102" t="s">
        <v>8</v>
      </c>
      <c r="G36" s="103"/>
      <c r="H36" s="103"/>
      <c r="I36" s="103">
        <f>'Rider Rates'!$B$15</f>
        <v>0</v>
      </c>
      <c r="J36" s="103">
        <f t="shared" si="0"/>
        <v>0</v>
      </c>
      <c r="K36" s="104" t="s">
        <v>42</v>
      </c>
      <c r="L36" s="105"/>
      <c r="M36" s="105"/>
      <c r="N36" s="105">
        <f t="shared" si="1"/>
        <v>0</v>
      </c>
      <c r="O36" s="105">
        <f t="shared" si="2"/>
        <v>0</v>
      </c>
      <c r="P36" s="245">
        <f>'Rider Rates'!$D$15</f>
        <v>45167</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ht="13" x14ac:dyDescent="0.3">
      <c r="A37" s="210" t="s">
        <v>247</v>
      </c>
      <c r="B37" s="78"/>
      <c r="C37" s="78"/>
      <c r="D37" s="195">
        <f>$N$27</f>
        <v>10</v>
      </c>
      <c r="E37" s="101" t="s">
        <v>121</v>
      </c>
      <c r="F37" s="102" t="s">
        <v>8</v>
      </c>
      <c r="G37" s="103"/>
      <c r="H37" s="103"/>
      <c r="I37" s="178">
        <f>'Rider Rates'!$B$18+'Rider Rates'!$E$18</f>
        <v>0</v>
      </c>
      <c r="J37" s="178">
        <f t="shared" si="0"/>
        <v>0</v>
      </c>
      <c r="K37" s="104"/>
      <c r="L37" s="105"/>
      <c r="M37" s="105"/>
      <c r="N37" s="105">
        <f>ROUND($D$37*'Rider Rates'!$B$18,2)+ROUND($D$37*'Rider Rates'!$E$18,2)</f>
        <v>0</v>
      </c>
      <c r="O37" s="105">
        <f t="shared" si="2"/>
        <v>0</v>
      </c>
      <c r="P37" s="245">
        <f>MAX('Rider Rates'!$D$18,'Rider Rates'!$F$18)</f>
        <v>44531</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210" t="s">
        <v>195</v>
      </c>
      <c r="B38" s="78"/>
      <c r="C38" s="78"/>
      <c r="D38" s="100">
        <f>'Customer Info'!$B$21+'Customer Info'!$B$22</f>
        <v>0</v>
      </c>
      <c r="E38" s="101" t="s">
        <v>41</v>
      </c>
      <c r="F38" s="102" t="s">
        <v>8</v>
      </c>
      <c r="G38" s="103">
        <f>'Rider Rates'!B21</f>
        <v>0.10589</v>
      </c>
      <c r="H38" s="103"/>
      <c r="I38" s="103"/>
      <c r="J38" s="237">
        <f>SUM(G38:H38)</f>
        <v>0.10589</v>
      </c>
      <c r="K38" s="104" t="s">
        <v>42</v>
      </c>
      <c r="L38" s="105">
        <f>ROUND(D38*G38,2)</f>
        <v>0</v>
      </c>
      <c r="M38" s="105"/>
      <c r="N38" s="105"/>
      <c r="O38" s="105">
        <f t="shared" si="2"/>
        <v>0</v>
      </c>
      <c r="P38" s="245">
        <f>'Rider Rates'!$D$21</f>
        <v>45078</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210" t="s">
        <v>165</v>
      </c>
      <c r="B39" s="78"/>
      <c r="C39" s="78"/>
      <c r="D39" s="100">
        <f>D18</f>
        <v>0</v>
      </c>
      <c r="E39" s="101" t="s">
        <v>41</v>
      </c>
      <c r="F39" s="102" t="s">
        <v>8</v>
      </c>
      <c r="G39" s="103">
        <f>'Rider Rates'!B34</f>
        <v>3.2414200000000004E-2</v>
      </c>
      <c r="H39" s="103"/>
      <c r="I39" s="103"/>
      <c r="J39" s="237">
        <f>SUM(G39:H39)</f>
        <v>3.2414200000000004E-2</v>
      </c>
      <c r="K39" s="104" t="s">
        <v>42</v>
      </c>
      <c r="L39" s="239">
        <f>ROUND($D$39*$G$39,2)</f>
        <v>0</v>
      </c>
      <c r="M39" s="105"/>
      <c r="N39" s="105"/>
      <c r="O39" s="105">
        <f>SUM(L39:N39)</f>
        <v>0</v>
      </c>
      <c r="P39" s="245">
        <f>'Rider Rates'!D34</f>
        <v>45078</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210" t="s">
        <v>229</v>
      </c>
      <c r="B40" s="78"/>
      <c r="C40" s="78"/>
      <c r="D40" s="100">
        <f>D19</f>
        <v>0</v>
      </c>
      <c r="E40" s="101" t="s">
        <v>41</v>
      </c>
      <c r="F40" s="102" t="s">
        <v>8</v>
      </c>
      <c r="G40" s="103">
        <f>'Rider Rates'!B35</f>
        <v>0</v>
      </c>
      <c r="H40" s="103"/>
      <c r="I40" s="103"/>
      <c r="J40" s="237">
        <f>SUM(G40:H40)</f>
        <v>0</v>
      </c>
      <c r="K40" s="104"/>
      <c r="L40" s="239">
        <f>D40*G40</f>
        <v>0</v>
      </c>
      <c r="M40" s="105"/>
      <c r="N40" s="105"/>
      <c r="O40" s="105">
        <f>SUM(L40:N40)</f>
        <v>0</v>
      </c>
      <c r="P40" s="245">
        <f>'Rider Rates'!D35</f>
        <v>45078</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210" t="s">
        <v>202</v>
      </c>
      <c r="B41" s="78"/>
      <c r="C41" s="78"/>
      <c r="D41" s="100">
        <f>'Customer Info'!$B$21+'Customer Info'!$B$22</f>
        <v>0</v>
      </c>
      <c r="E41" s="101" t="s">
        <v>41</v>
      </c>
      <c r="F41" s="102" t="s">
        <v>8</v>
      </c>
      <c r="G41" s="103">
        <f>'Rider Rates'!$B$46</f>
        <v>-4.8640000000000001E-4</v>
      </c>
      <c r="H41" s="103"/>
      <c r="I41" s="103"/>
      <c r="J41" s="237">
        <f>SUM(G41:H41)</f>
        <v>-4.8640000000000001E-4</v>
      </c>
      <c r="K41" s="104" t="s">
        <v>42</v>
      </c>
      <c r="L41" s="105">
        <f>ROUND(D41*G41,2)</f>
        <v>0</v>
      </c>
      <c r="M41" s="105"/>
      <c r="N41" s="105"/>
      <c r="O41" s="105">
        <f t="shared" si="2"/>
        <v>0</v>
      </c>
      <c r="P41" s="245">
        <f>'Rider Rates'!$D$46</f>
        <v>45383</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5">
      <c r="A42" s="241" t="s">
        <v>220</v>
      </c>
      <c r="B42" s="78"/>
      <c r="C42" s="78"/>
      <c r="D42" s="100"/>
      <c r="E42" s="101" t="s">
        <v>114</v>
      </c>
      <c r="F42" s="102"/>
      <c r="G42" s="103"/>
      <c r="H42" s="103"/>
      <c r="I42" s="103">
        <f>'Rider Rates'!D49</f>
        <v>1.47</v>
      </c>
      <c r="J42" s="237">
        <f t="shared" ref="J42:J47" si="3">SUM(G42:I42)</f>
        <v>1.47</v>
      </c>
      <c r="K42" s="104"/>
      <c r="L42" s="105"/>
      <c r="M42" s="105"/>
      <c r="N42" s="105">
        <f>J42</f>
        <v>1.47</v>
      </c>
      <c r="O42" s="105">
        <f>SUM(L42:N42)</f>
        <v>1.47</v>
      </c>
      <c r="P42" s="245">
        <f>'Rider Rates'!E49</f>
        <v>45292</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5">
      <c r="A43" s="210" t="s">
        <v>198</v>
      </c>
      <c r="B43" s="78"/>
      <c r="C43" s="78"/>
      <c r="D43" s="100">
        <f>IF($D$17&lt;0,0,$D$17)</f>
        <v>0</v>
      </c>
      <c r="E43" s="113" t="s">
        <v>41</v>
      </c>
      <c r="F43" s="102" t="s">
        <v>8</v>
      </c>
      <c r="G43" s="103"/>
      <c r="H43" s="103">
        <f>'Rider Rates'!$B$56</f>
        <v>4.3837099999999997E-2</v>
      </c>
      <c r="I43" s="103"/>
      <c r="J43" s="103">
        <f t="shared" si="3"/>
        <v>4.3837099999999997E-2</v>
      </c>
      <c r="K43" s="104" t="s">
        <v>42</v>
      </c>
      <c r="L43" s="105"/>
      <c r="M43" s="105">
        <f>ROUND(D43*H43,2)</f>
        <v>0</v>
      </c>
      <c r="N43" s="205"/>
      <c r="O43" s="105">
        <f t="shared" si="2"/>
        <v>0</v>
      </c>
      <c r="P43" s="245">
        <f>'Rider Rates'!$D$56</f>
        <v>45383</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5">
      <c r="A44" s="99" t="s">
        <v>95</v>
      </c>
      <c r="B44" s="78"/>
      <c r="C44" s="78"/>
      <c r="D44" s="100">
        <f>IF('Customer Info'!C34=TRUE,0,IF($D$17&lt;0,0,$D$17))</f>
        <v>0</v>
      </c>
      <c r="E44" s="101" t="s">
        <v>41</v>
      </c>
      <c r="F44" s="102" t="s">
        <v>8</v>
      </c>
      <c r="G44" s="103"/>
      <c r="H44" s="103"/>
      <c r="I44" s="103">
        <f>'Rider Rates'!$B$68+'Rider Rates'!$C$68</f>
        <v>0</v>
      </c>
      <c r="J44" s="103">
        <f t="shared" si="3"/>
        <v>0</v>
      </c>
      <c r="K44" s="104" t="s">
        <v>42</v>
      </c>
      <c r="L44" s="105"/>
      <c r="M44" s="105"/>
      <c r="N44" s="105">
        <f>ROUND($D$44*'Rider Rates'!$B$68,2)+ROUND($D$44*'Rider Rates'!$C$68,2)</f>
        <v>0</v>
      </c>
      <c r="O44" s="250">
        <f t="shared" si="2"/>
        <v>0</v>
      </c>
      <c r="P44" s="245">
        <f>'Rider Rates'!$D$68</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99" t="s">
        <v>80</v>
      </c>
      <c r="B45" s="78"/>
      <c r="C45" s="78"/>
      <c r="D45" s="195">
        <f>$N$27</f>
        <v>10</v>
      </c>
      <c r="E45" s="101" t="s">
        <v>121</v>
      </c>
      <c r="F45" s="102" t="s">
        <v>8</v>
      </c>
      <c r="G45" s="111"/>
      <c r="H45" s="112"/>
      <c r="I45" s="120">
        <f>'Rider Rates'!$B$84</f>
        <v>2.9347000000000002E-2</v>
      </c>
      <c r="J45" s="120">
        <f t="shared" si="3"/>
        <v>2.9347000000000002E-2</v>
      </c>
      <c r="K45" s="104"/>
      <c r="L45" s="105"/>
      <c r="M45" s="105"/>
      <c r="N45" s="105">
        <f>ROUND(D45*I45,2)</f>
        <v>0.28999999999999998</v>
      </c>
      <c r="O45" s="105">
        <f t="shared" si="2"/>
        <v>0.28999999999999998</v>
      </c>
      <c r="P45" s="245">
        <f>'Rider Rates'!$D$84</f>
        <v>45383</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99" t="s">
        <v>81</v>
      </c>
      <c r="B46" s="78"/>
      <c r="C46" s="78"/>
      <c r="D46" s="195">
        <f>$N$27</f>
        <v>10</v>
      </c>
      <c r="E46" s="101" t="s">
        <v>121</v>
      </c>
      <c r="F46" s="102" t="s">
        <v>8</v>
      </c>
      <c r="G46" s="114"/>
      <c r="H46" s="115"/>
      <c r="I46" s="120">
        <f>'Rider Rates'!$B$86</f>
        <v>6.6985699999999995E-2</v>
      </c>
      <c r="J46" s="120">
        <f t="shared" si="3"/>
        <v>6.6985699999999995E-2</v>
      </c>
      <c r="K46" s="104"/>
      <c r="L46" s="105"/>
      <c r="M46" s="105"/>
      <c r="N46" s="105">
        <f>ROUND(D46*I46,2)</f>
        <v>0.67</v>
      </c>
      <c r="O46" s="105">
        <f t="shared" si="2"/>
        <v>0.67</v>
      </c>
      <c r="P46" s="245">
        <f>'Rider Rates'!$D$86</f>
        <v>45167</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216</v>
      </c>
      <c r="B47" s="78"/>
      <c r="C47" s="78"/>
      <c r="D47" s="195"/>
      <c r="E47" s="113" t="s">
        <v>114</v>
      </c>
      <c r="F47" s="106"/>
      <c r="G47" s="114"/>
      <c r="H47" s="115"/>
      <c r="I47" s="196">
        <f>'Rider Rates'!$B$89</f>
        <v>1.95</v>
      </c>
      <c r="J47" s="196">
        <f t="shared" si="3"/>
        <v>1.95</v>
      </c>
      <c r="K47" s="104"/>
      <c r="L47" s="105"/>
      <c r="M47" s="105"/>
      <c r="N47" s="105">
        <f>I47</f>
        <v>1.95</v>
      </c>
      <c r="O47" s="250">
        <f>SUM(L47:N47)</f>
        <v>1.95</v>
      </c>
      <c r="P47" s="245">
        <f>'Rider Rates'!$D$89</f>
        <v>45259</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10" t="s">
        <v>249</v>
      </c>
      <c r="B48" s="78"/>
      <c r="C48" s="78"/>
      <c r="D48" s="100">
        <f>IF($D$17&lt;0,0,$D$17)</f>
        <v>0</v>
      </c>
      <c r="E48" s="101" t="s">
        <v>41</v>
      </c>
      <c r="F48" s="102" t="s">
        <v>8</v>
      </c>
      <c r="G48" s="103"/>
      <c r="H48" s="103"/>
      <c r="I48" s="103"/>
      <c r="J48" s="103">
        <f>'Rider Rates'!$B$93</f>
        <v>0</v>
      </c>
      <c r="K48" s="104" t="s">
        <v>42</v>
      </c>
      <c r="L48" s="105"/>
      <c r="M48" s="105"/>
      <c r="N48" s="105"/>
      <c r="O48" s="105">
        <f>ROUND($D48*('Rider Rates'!B$93),2)</f>
        <v>0</v>
      </c>
      <c r="P48" s="245">
        <f>'Rider Rates'!$D$93</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ht="13" x14ac:dyDescent="0.3">
      <c r="A49" s="99" t="s">
        <v>157</v>
      </c>
      <c r="B49" s="78"/>
      <c r="C49" s="78"/>
      <c r="D49" s="195">
        <f>$N$27</f>
        <v>10</v>
      </c>
      <c r="E49" s="101" t="s">
        <v>121</v>
      </c>
      <c r="F49" s="102" t="s">
        <v>8</v>
      </c>
      <c r="G49" s="114"/>
      <c r="H49" s="115"/>
      <c r="I49" s="120">
        <f>'Rider Rates'!$B$104</f>
        <v>0.21398439999999999</v>
      </c>
      <c r="J49" s="238">
        <f>SUM(G49:I49)</f>
        <v>0.21398439999999999</v>
      </c>
      <c r="K49" s="104"/>
      <c r="L49" s="105"/>
      <c r="M49" s="105"/>
      <c r="N49" s="105">
        <f>ROUND(D49*I49,2)</f>
        <v>2.14</v>
      </c>
      <c r="O49" s="105">
        <f t="shared" si="2"/>
        <v>2.14</v>
      </c>
      <c r="P49" s="245">
        <f>'Rider Rates'!$D$104</f>
        <v>45351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ht="13" x14ac:dyDescent="0.3">
      <c r="A50" s="210" t="s">
        <v>219</v>
      </c>
      <c r="B50" s="78"/>
      <c r="C50" s="78"/>
      <c r="D50" s="195"/>
      <c r="E50" s="113" t="s">
        <v>114</v>
      </c>
      <c r="F50" s="106"/>
      <c r="G50" s="114"/>
      <c r="H50" s="115"/>
      <c r="I50" s="196">
        <f>'Rider Rates'!$B$107</f>
        <v>0</v>
      </c>
      <c r="J50" s="196">
        <f>SUM(G50:I50)</f>
        <v>0</v>
      </c>
      <c r="K50" s="104"/>
      <c r="L50" s="105"/>
      <c r="M50" s="105"/>
      <c r="N50" s="105">
        <f>I50</f>
        <v>0</v>
      </c>
      <c r="O50" s="105">
        <f>SUM(L50:N50)</f>
        <v>0</v>
      </c>
      <c r="P50" s="245">
        <f>'Rider Rates'!$D$107</f>
        <v>44894</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ht="13" x14ac:dyDescent="0.3">
      <c r="A51" s="210" t="s">
        <v>227</v>
      </c>
      <c r="B51" s="78"/>
      <c r="C51" s="78"/>
      <c r="D51" s="195"/>
      <c r="E51" s="113" t="s">
        <v>114</v>
      </c>
      <c r="F51" s="106"/>
      <c r="G51" s="114"/>
      <c r="H51" s="115"/>
      <c r="I51" s="260">
        <f>'Rider Rates'!B120</f>
        <v>1.26</v>
      </c>
      <c r="J51" s="261">
        <f>SUM(G51:I51)</f>
        <v>1.26</v>
      </c>
      <c r="K51" s="104"/>
      <c r="L51" s="105"/>
      <c r="M51" s="105"/>
      <c r="N51" s="262">
        <f>I51</f>
        <v>1.26</v>
      </c>
      <c r="O51" s="105">
        <f>SUM(L51:N51)</f>
        <v>1.26</v>
      </c>
      <c r="P51" s="245">
        <f>'Rider Rates'!D120</f>
        <v>45226</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99" t="s">
        <v>158</v>
      </c>
      <c r="B52" s="78"/>
      <c r="C52" s="78"/>
      <c r="D52" s="100">
        <f>'Customer Info'!$B$21+'Customer Info'!$B$22</f>
        <v>0</v>
      </c>
      <c r="E52" s="101" t="s">
        <v>41</v>
      </c>
      <c r="F52" s="102" t="s">
        <v>8</v>
      </c>
      <c r="G52" s="103">
        <f>'Rider Rates'!$B$111</f>
        <v>3.8972999999999998E-3</v>
      </c>
      <c r="H52" s="103"/>
      <c r="I52" s="103"/>
      <c r="J52" s="237">
        <f>SUM(G52:H52)</f>
        <v>3.8972999999999998E-3</v>
      </c>
      <c r="K52" s="104" t="s">
        <v>42</v>
      </c>
      <c r="L52" s="105">
        <f>ROUND(D52*G52,2)</f>
        <v>0</v>
      </c>
      <c r="M52" s="105"/>
      <c r="N52" s="105"/>
      <c r="O52" s="105">
        <f t="shared" si="2"/>
        <v>0</v>
      </c>
      <c r="P52" s="245">
        <f>'Rider Rates'!$D$111</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210" t="s">
        <v>218</v>
      </c>
      <c r="B53" s="78"/>
      <c r="C53" s="78"/>
      <c r="D53" s="100">
        <f>IF($D$17&lt;1,0,$D$17)</f>
        <v>0</v>
      </c>
      <c r="E53" s="101" t="s">
        <v>41</v>
      </c>
      <c r="F53" s="249" t="s">
        <v>8</v>
      </c>
      <c r="G53" s="103"/>
      <c r="H53" s="103"/>
      <c r="I53" s="103">
        <f>'Rider Rates'!$B$116</f>
        <v>-2.3000000000000001E-4</v>
      </c>
      <c r="J53" s="237">
        <f>SUM(G53:I53)</f>
        <v>-2.3000000000000001E-4</v>
      </c>
      <c r="K53" s="104" t="s">
        <v>42</v>
      </c>
      <c r="L53" s="105"/>
      <c r="M53" s="105"/>
      <c r="N53" s="105">
        <f>D53*J53</f>
        <v>0</v>
      </c>
      <c r="O53" s="105">
        <f t="shared" si="2"/>
        <v>0</v>
      </c>
      <c r="P53" s="245">
        <f>'Rider Rates'!D116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240</v>
      </c>
      <c r="B54" s="78"/>
      <c r="C54" s="78"/>
      <c r="D54" s="100"/>
      <c r="E54" s="101" t="s">
        <v>114</v>
      </c>
      <c r="F54" s="102" t="s">
        <v>8</v>
      </c>
      <c r="G54" s="265"/>
      <c r="H54" s="265"/>
      <c r="I54" s="265">
        <f>'Rider Rates'!$B$124</f>
        <v>0.1</v>
      </c>
      <c r="J54" s="265">
        <f>SUM(G54:I54)</f>
        <v>0.1</v>
      </c>
      <c r="K54" s="104"/>
      <c r="L54" s="209"/>
      <c r="M54" s="209"/>
      <c r="N54" s="209">
        <f>J54</f>
        <v>0.1</v>
      </c>
      <c r="O54" s="209">
        <f>SUM(L54:N54)</f>
        <v>0.1</v>
      </c>
      <c r="P54" s="266">
        <f>'Rider Rates'!$E$124</f>
        <v>44927</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252</v>
      </c>
      <c r="B55" s="78"/>
      <c r="C55" s="78"/>
      <c r="D55" s="100">
        <f>C19</f>
        <v>0</v>
      </c>
      <c r="E55" s="101" t="s">
        <v>41</v>
      </c>
      <c r="F55" s="249" t="s">
        <v>8</v>
      </c>
      <c r="G55" s="103"/>
      <c r="H55" s="103"/>
      <c r="I55" s="103">
        <f>'Rider Rates'!$B$129</f>
        <v>0</v>
      </c>
      <c r="J55" s="237">
        <f>SUM(G55:I55)</f>
        <v>0</v>
      </c>
      <c r="K55" s="104" t="s">
        <v>42</v>
      </c>
      <c r="L55" s="105"/>
      <c r="M55" s="105"/>
      <c r="N55" s="105">
        <f>D55*J55</f>
        <v>0</v>
      </c>
      <c r="O55" s="105">
        <f>SUM(L55:N55)</f>
        <v>0</v>
      </c>
      <c r="P55" s="245">
        <f>'Rider Rates'!D134</f>
        <v>0</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5">
      <c r="A56" s="241" t="s">
        <v>251</v>
      </c>
      <c r="B56" s="78"/>
      <c r="C56" s="78"/>
      <c r="D56" s="100"/>
      <c r="E56" s="101" t="s">
        <v>114</v>
      </c>
      <c r="F56" s="102" t="s">
        <v>8</v>
      </c>
      <c r="G56" s="265"/>
      <c r="H56" s="265"/>
      <c r="I56" s="265">
        <f>'Rider Rates'!$B$136</f>
        <v>0</v>
      </c>
      <c r="J56" s="265">
        <f>SUM(G56:I56)</f>
        <v>0</v>
      </c>
      <c r="K56" s="104"/>
      <c r="L56" s="209"/>
      <c r="M56" s="209"/>
      <c r="N56" s="209">
        <f>J56</f>
        <v>0</v>
      </c>
      <c r="O56" s="209">
        <f>SUM(L56:N56)</f>
        <v>0</v>
      </c>
      <c r="P56" s="266">
        <f>'Rider Rates'!$D$132</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5">
      <c r="A57" s="241" t="s">
        <v>253</v>
      </c>
      <c r="B57" s="78"/>
      <c r="C57" s="78"/>
      <c r="D57" s="100"/>
      <c r="E57" s="101"/>
      <c r="F57" s="102"/>
      <c r="G57" s="265"/>
      <c r="H57" s="265"/>
      <c r="I57" s="265"/>
      <c r="J57" s="265"/>
      <c r="K57" s="104"/>
      <c r="L57" s="209"/>
      <c r="M57" s="209"/>
      <c r="N57" s="209"/>
      <c r="O57" s="209"/>
      <c r="P57" s="266"/>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ht="13" x14ac:dyDescent="0.3">
      <c r="A58" s="179" t="s">
        <v>70</v>
      </c>
      <c r="B58" s="148"/>
      <c r="C58" s="148"/>
      <c r="D58" s="180"/>
      <c r="E58" s="181"/>
      <c r="F58" s="182"/>
      <c r="G58" s="182"/>
      <c r="H58" s="182"/>
      <c r="I58" s="182"/>
      <c r="J58" s="182"/>
      <c r="K58" s="183"/>
      <c r="L58" s="169">
        <f>SUM(L31:L57)</f>
        <v>0</v>
      </c>
      <c r="M58" s="169">
        <f>SUM(M31:M57)</f>
        <v>0</v>
      </c>
      <c r="N58" s="169">
        <f>SUM(N31:N57)</f>
        <v>7.879999999999999</v>
      </c>
      <c r="O58" s="169">
        <f>SUM(O31:O57)</f>
        <v>7.879999999999999</v>
      </c>
      <c r="P58" s="184"/>
      <c r="Q58" s="106"/>
      <c r="R58" s="166"/>
      <c r="S58" s="166"/>
      <c r="T58" s="189"/>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5">
      <c r="A59" s="78"/>
      <c r="B59" s="78"/>
      <c r="C59" s="78"/>
      <c r="D59" s="100"/>
      <c r="E59" s="113"/>
      <c r="F59" s="106"/>
      <c r="G59" s="106"/>
      <c r="H59" s="106"/>
      <c r="I59" s="106"/>
      <c r="J59" s="107"/>
      <c r="K59" s="104"/>
      <c r="L59" s="106"/>
      <c r="M59" s="106"/>
      <c r="N59" s="106"/>
      <c r="O59" s="106"/>
      <c r="P59" s="164"/>
      <c r="Q59" s="106"/>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ht="13" x14ac:dyDescent="0.3">
      <c r="A60" s="185" t="s">
        <v>93</v>
      </c>
      <c r="B60" s="170"/>
      <c r="C60" s="170"/>
      <c r="D60" s="170"/>
      <c r="E60" s="170"/>
      <c r="F60" s="170"/>
      <c r="G60" s="170"/>
      <c r="H60" s="170"/>
      <c r="I60" s="170"/>
      <c r="J60" s="170"/>
      <c r="K60" s="170"/>
      <c r="L60" s="186">
        <f>L27+L58</f>
        <v>0</v>
      </c>
      <c r="M60" s="186">
        <f>M27+M58</f>
        <v>0</v>
      </c>
      <c r="N60" s="186">
        <f>N27+N58</f>
        <v>17.88</v>
      </c>
      <c r="O60" s="187">
        <f>O27+O58</f>
        <v>17.88</v>
      </c>
      <c r="P60" s="187"/>
      <c r="Q60" s="106"/>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ht="13" x14ac:dyDescent="0.3">
      <c r="A61" s="78"/>
      <c r="B61" s="78"/>
      <c r="C61" s="78"/>
      <c r="D61" s="78"/>
      <c r="E61" s="78"/>
      <c r="F61" s="78"/>
      <c r="G61" s="78"/>
      <c r="H61" s="78"/>
      <c r="I61" s="78"/>
      <c r="J61" s="78"/>
      <c r="K61" s="78"/>
      <c r="L61" s="78"/>
      <c r="M61" s="78"/>
      <c r="N61" s="151"/>
      <c r="O61" s="151"/>
      <c r="P61" s="151"/>
      <c r="Q61" s="166"/>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ht="13" x14ac:dyDescent="0.3">
      <c r="A62" s="78"/>
      <c r="B62" s="78"/>
      <c r="C62" s="78"/>
      <c r="D62" s="78"/>
      <c r="E62" s="78"/>
      <c r="F62" s="78"/>
      <c r="G62" s="78"/>
      <c r="H62" s="78"/>
      <c r="I62" s="78"/>
      <c r="J62" s="78"/>
      <c r="K62" s="78"/>
      <c r="L62" s="78"/>
      <c r="M62" s="78"/>
      <c r="N62" s="151"/>
      <c r="O62" s="151"/>
      <c r="P62" s="151"/>
      <c r="Q62" s="166"/>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ht="13" x14ac:dyDescent="0.3">
      <c r="A63" s="166" t="s">
        <v>92</v>
      </c>
      <c r="B63" s="78"/>
      <c r="C63" s="78"/>
      <c r="D63" s="78"/>
      <c r="E63" s="78"/>
      <c r="F63" s="78"/>
      <c r="G63" s="78"/>
      <c r="H63" s="78"/>
      <c r="I63" s="78"/>
      <c r="J63" s="78"/>
      <c r="K63" s="78"/>
      <c r="L63" s="78"/>
      <c r="M63" s="78"/>
      <c r="N63" s="78"/>
      <c r="O63" s="109">
        <f>IF(D17&lt;0,MIN(O25,O60),O25)</f>
        <v>10</v>
      </c>
      <c r="P63" s="151"/>
      <c r="Q63" s="166"/>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21" ht="13" x14ac:dyDescent="0.3">
      <c r="A64" s="166" t="s">
        <v>15</v>
      </c>
      <c r="B64" s="166"/>
      <c r="C64" s="166"/>
      <c r="D64" s="166"/>
      <c r="E64" s="166"/>
      <c r="F64" s="166"/>
      <c r="G64" s="166"/>
      <c r="H64" s="166"/>
      <c r="I64" s="78"/>
      <c r="J64" s="78"/>
      <c r="K64" s="78"/>
      <c r="L64" s="78"/>
      <c r="M64" s="78"/>
      <c r="N64" s="151"/>
      <c r="O64" s="151"/>
      <c r="P64" s="151"/>
      <c r="Q64" s="78"/>
      <c r="R64" s="107"/>
      <c r="S64" s="108"/>
      <c r="T64" s="109"/>
      <c r="U64" s="78"/>
      <c r="V64" s="110"/>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36" ht="13" x14ac:dyDescent="0.3">
      <c r="A65" s="148" t="s">
        <v>116</v>
      </c>
      <c r="B65" s="151"/>
      <c r="C65" s="151"/>
      <c r="D65" s="151"/>
      <c r="E65" s="151"/>
      <c r="F65" s="151"/>
      <c r="G65" s="151"/>
      <c r="H65" s="151"/>
      <c r="I65" s="151"/>
      <c r="J65" s="151"/>
      <c r="K65" s="151"/>
      <c r="L65" s="151"/>
      <c r="M65" s="151"/>
      <c r="N65" s="151"/>
      <c r="O65" s="190">
        <f>IF($D$17&lt;0,O60,IF(O60&gt;O63,O60,O63))</f>
        <v>17.88</v>
      </c>
      <c r="P65" s="160"/>
      <c r="Q65" s="78"/>
      <c r="R65" s="107"/>
      <c r="S65" s="108"/>
      <c r="T65" s="109"/>
      <c r="U65" s="78"/>
      <c r="V65" s="110"/>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36" ht="13" x14ac:dyDescent="0.3">
      <c r="A66" s="148"/>
      <c r="B66" s="151"/>
      <c r="C66" s="151"/>
      <c r="D66" s="151"/>
      <c r="E66" s="151"/>
      <c r="F66" s="151"/>
      <c r="G66" s="151"/>
      <c r="H66" s="151"/>
      <c r="I66" s="151"/>
      <c r="J66" s="151"/>
      <c r="K66" s="151"/>
      <c r="L66" s="151"/>
      <c r="M66" s="151"/>
      <c r="N66" s="151"/>
      <c r="O66" s="138"/>
      <c r="P66" s="160"/>
      <c r="Q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row>
    <row r="67" spans="1:236" ht="13" x14ac:dyDescent="0.3">
      <c r="A67" s="148"/>
      <c r="B67" s="166"/>
      <c r="C67" s="166"/>
      <c r="D67" s="166"/>
      <c r="E67" s="166"/>
      <c r="F67" s="166"/>
      <c r="G67" s="166"/>
      <c r="H67" s="166"/>
      <c r="I67" s="166" t="s">
        <v>120</v>
      </c>
      <c r="J67" s="166"/>
      <c r="K67" s="166"/>
      <c r="L67" s="191"/>
      <c r="M67" s="191"/>
      <c r="N67" s="191"/>
      <c r="O67" s="191">
        <f>ROUND(IF($D$17&lt;1,0,O60/($D$17*100)*10000),2)</f>
        <v>0</v>
      </c>
      <c r="P67" s="37" t="s">
        <v>86</v>
      </c>
      <c r="Q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row>
    <row r="68" spans="1:236" ht="13" x14ac:dyDescent="0.3">
      <c r="A68" s="37"/>
      <c r="B68" s="78"/>
      <c r="C68" s="78"/>
      <c r="D68" s="78"/>
      <c r="E68" s="78"/>
      <c r="F68" s="78"/>
      <c r="G68" s="78"/>
      <c r="H68" s="192"/>
      <c r="I68" s="242" t="s">
        <v>199</v>
      </c>
      <c r="J68" s="78"/>
      <c r="K68" s="78"/>
      <c r="L68" s="78"/>
      <c r="M68" s="78"/>
      <c r="N68" s="78"/>
      <c r="O68" s="243">
        <f>ROUND(IF($D$17&lt;1,0,(L60)/($D$17*100)*10000),2)</f>
        <v>0</v>
      </c>
      <c r="P68" s="25" t="s">
        <v>86</v>
      </c>
      <c r="Q68" s="78"/>
      <c r="AE68" s="78"/>
      <c r="AF68" s="78"/>
      <c r="AG68" s="78"/>
      <c r="AH68" s="78"/>
      <c r="AI68" s="78"/>
      <c r="AJ68" s="78"/>
      <c r="AK68" s="78"/>
      <c r="AL68" s="78"/>
      <c r="AM68" s="78"/>
      <c r="AN68" s="78"/>
      <c r="AO68" s="78"/>
      <c r="AP68" s="78"/>
      <c r="AQ68" s="78"/>
      <c r="AR68" s="78"/>
      <c r="AS68" s="78"/>
      <c r="AT68" s="78"/>
      <c r="HE68" s="78"/>
      <c r="HF68" s="78"/>
      <c r="HG68" s="78"/>
      <c r="HH68" s="78"/>
      <c r="HI68" s="78"/>
      <c r="HJ68" s="78"/>
      <c r="HK68" s="78"/>
      <c r="HL68" s="78"/>
      <c r="HM68" s="78"/>
      <c r="HN68" s="78"/>
    </row>
    <row r="69" spans="1:236" ht="13" x14ac:dyDescent="0.3">
      <c r="A69" s="99"/>
      <c r="B69" s="78"/>
      <c r="C69" s="78"/>
      <c r="D69" s="100"/>
      <c r="E69" s="101"/>
      <c r="F69" s="106"/>
      <c r="G69" s="133"/>
      <c r="H69" s="56"/>
      <c r="I69" s="133"/>
      <c r="J69" s="25"/>
      <c r="K69" s="25"/>
      <c r="L69" s="134"/>
      <c r="M69" s="134"/>
      <c r="N69" s="134"/>
      <c r="O69" s="135"/>
      <c r="Q69" s="80"/>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row>
    <row r="70" spans="1:236" x14ac:dyDescent="0.25">
      <c r="A70" s="99"/>
      <c r="B70" s="78"/>
      <c r="C70" s="78"/>
      <c r="D70" s="100"/>
      <c r="E70" s="113"/>
      <c r="F70" s="106"/>
      <c r="Q70" s="80"/>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row>
    <row r="71" spans="1:236" x14ac:dyDescent="0.25">
      <c r="A71" s="78"/>
      <c r="D71" s="1"/>
      <c r="E71" s="35"/>
      <c r="F71" s="106"/>
      <c r="Q71" s="80"/>
    </row>
    <row r="72" spans="1:236" ht="13" x14ac:dyDescent="0.3">
      <c r="A72" s="96"/>
      <c r="D72" s="1"/>
      <c r="E72" s="35"/>
      <c r="F72" s="4"/>
      <c r="Q72" s="36"/>
    </row>
    <row r="73" spans="1:236" ht="13" x14ac:dyDescent="0.3">
      <c r="A73" s="96"/>
      <c r="D73" s="1"/>
      <c r="E73" s="35"/>
      <c r="F73" s="4"/>
      <c r="Q73" s="36"/>
    </row>
    <row r="74" spans="1:236" ht="13" x14ac:dyDescent="0.3">
      <c r="A74" s="41"/>
      <c r="B74" s="77"/>
      <c r="C74" s="77"/>
      <c r="D74" s="77"/>
      <c r="E74" s="77"/>
      <c r="F74" s="77"/>
    </row>
    <row r="75" spans="1:236" ht="13" x14ac:dyDescent="0.3">
      <c r="B75" s="37"/>
      <c r="C75" s="37"/>
      <c r="D75" s="37"/>
      <c r="E75" s="37"/>
      <c r="F75" s="37"/>
      <c r="P75" s="37"/>
      <c r="Q75" s="37"/>
    </row>
    <row r="76" spans="1:236" ht="13" x14ac:dyDescent="0.3">
      <c r="B76" s="37"/>
      <c r="C76" s="37"/>
      <c r="D76" s="37"/>
      <c r="E76" s="37"/>
      <c r="F76" s="37"/>
      <c r="P76" s="25"/>
      <c r="Q76" s="25"/>
    </row>
    <row r="79" spans="1:236" x14ac:dyDescent="0.25">
      <c r="A79" s="434"/>
    </row>
    <row r="80" spans="1:23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row r="89" spans="1:1" x14ac:dyDescent="0.25">
      <c r="A89" s="434"/>
    </row>
    <row r="90" spans="1:1" x14ac:dyDescent="0.25">
      <c r="A90" s="434"/>
    </row>
    <row r="91" spans="1:1" x14ac:dyDescent="0.25">
      <c r="A91" s="434"/>
    </row>
    <row r="92" spans="1:1" x14ac:dyDescent="0.25">
      <c r="A92" s="434"/>
    </row>
    <row r="93" spans="1:1" x14ac:dyDescent="0.25">
      <c r="A93" s="434"/>
    </row>
  </sheetData>
  <sheetProtection algorithmName="SHA-512" hashValue="IktkJrEaysO2N/UMURnY8E9/Q8Ly3pGzeBFhCgK2M6LvtDRMK9nsdyI33PmujEJpv2lvnvX8EeiO7LNbAcHrNA==" saltValue="oW/Akw7CUSYGAds5C9f9bw==" spinCount="100000" sheet="1" objects="1" scenarios="1"/>
  <mergeCells count="9">
    <mergeCell ref="G23:J23"/>
    <mergeCell ref="L23:O23"/>
    <mergeCell ref="A79:A93"/>
    <mergeCell ref="A1:P1"/>
    <mergeCell ref="A2:P2"/>
    <mergeCell ref="A3:P3"/>
    <mergeCell ref="A4:P4"/>
    <mergeCell ref="B6:O6"/>
    <mergeCell ref="A7:K7"/>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4753"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4754" r:id="rId5" name="Button 2">
              <controlPr defaultSize="0" print="0" autoFill="0" autoPict="0" macro="[0]!Info">
                <anchor moveWithCells="1">
                  <from>
                    <xdr:col>16</xdr:col>
                    <xdr:colOff>393700</xdr:colOff>
                    <xdr:row>86</xdr:row>
                    <xdr:rowOff>38100</xdr:rowOff>
                  </from>
                  <to>
                    <xdr:col>30</xdr:col>
                    <xdr:colOff>165100</xdr:colOff>
                    <xdr:row>87</xdr:row>
                    <xdr:rowOff>88900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HM69"/>
  <sheetViews>
    <sheetView showGridLines="0" topLeftCell="A8" zoomScale="80" zoomScaleNormal="80" workbookViewId="0">
      <selection activeCell="C9" sqref="C9"/>
    </sheetView>
  </sheetViews>
  <sheetFormatPr defaultRowHeight="12.5" x14ac:dyDescent="0.25"/>
  <cols>
    <col min="1" max="1" width="37.54296875" customWidth="1"/>
    <col min="2" max="2" width="2.1796875" customWidth="1"/>
    <col min="3" max="3" width="14.54296875" customWidth="1"/>
    <col min="4" max="4" width="15.26953125" customWidth="1"/>
    <col min="5" max="5" width="9.81640625" customWidth="1"/>
    <col min="6" max="6" width="5.54296875" customWidth="1"/>
    <col min="7" max="8" width="13.26953125" customWidth="1"/>
    <col min="9" max="9" width="14.54296875" customWidth="1"/>
    <col min="10" max="10" width="14.81640625" bestFit="1" customWidth="1"/>
    <col min="11" max="11" width="7" customWidth="1"/>
    <col min="12" max="12" width="15.1796875" customWidth="1"/>
    <col min="13" max="13" width="17.26953125" bestFit="1" customWidth="1"/>
    <col min="14" max="14" width="16.7265625" customWidth="1"/>
    <col min="15" max="15" width="17.26953125" bestFit="1" customWidth="1"/>
    <col min="16" max="16" width="12.81640625" bestFit="1" customWidth="1"/>
    <col min="18" max="18" width="13.8164062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row>
    <row r="2" spans="1:30" ht="20" x14ac:dyDescent="0.4">
      <c r="A2" s="436" t="s">
        <v>122</v>
      </c>
      <c r="B2" s="436"/>
      <c r="C2" s="436"/>
      <c r="D2" s="436"/>
      <c r="E2" s="436"/>
      <c r="F2" s="436"/>
      <c r="G2" s="436"/>
      <c r="H2" s="436"/>
      <c r="I2" s="436"/>
      <c r="J2" s="436"/>
      <c r="K2" s="436"/>
      <c r="L2" s="436"/>
      <c r="M2" s="436"/>
      <c r="N2" s="436"/>
      <c r="O2" s="436"/>
      <c r="P2" s="436"/>
    </row>
    <row r="3" spans="1:30" ht="18" x14ac:dyDescent="0.4">
      <c r="A3" s="452" t="s">
        <v>183</v>
      </c>
      <c r="B3" s="452"/>
      <c r="C3" s="452"/>
      <c r="D3" s="452"/>
      <c r="E3" s="452"/>
      <c r="F3" s="452"/>
      <c r="G3" s="452"/>
      <c r="H3" s="452"/>
      <c r="I3" s="452"/>
      <c r="J3" s="452"/>
      <c r="K3" s="452"/>
      <c r="L3" s="452"/>
      <c r="M3" s="452"/>
      <c r="N3" s="452"/>
      <c r="O3" s="452"/>
      <c r="P3" s="452"/>
    </row>
    <row r="4" spans="1:30"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30" ht="15.5" x14ac:dyDescent="0.35">
      <c r="A5" s="75"/>
      <c r="B5" s="75"/>
      <c r="C5" s="75"/>
      <c r="D5" s="75"/>
      <c r="E5" s="75"/>
      <c r="F5" s="75"/>
      <c r="G5" s="75"/>
      <c r="H5" s="75"/>
      <c r="I5" s="75"/>
      <c r="J5" s="75"/>
      <c r="K5" s="75"/>
      <c r="L5" s="75"/>
      <c r="M5" s="75"/>
      <c r="N5" s="75"/>
      <c r="O5" s="75"/>
      <c r="P5" s="75"/>
    </row>
    <row r="6" spans="1:30" x14ac:dyDescent="0.25">
      <c r="A6" s="76">
        <f ca="1">TODAY()</f>
        <v>45378</v>
      </c>
      <c r="B6" s="206" t="s">
        <v>246</v>
      </c>
      <c r="C6" s="206"/>
      <c r="D6" s="206"/>
      <c r="E6" s="206"/>
      <c r="F6" s="206"/>
      <c r="G6" s="206"/>
      <c r="H6" s="206"/>
      <c r="I6" s="206"/>
      <c r="J6" s="206"/>
      <c r="K6" s="206"/>
      <c r="L6" s="206"/>
      <c r="M6" s="206"/>
      <c r="N6" s="206"/>
      <c r="O6" s="206"/>
    </row>
    <row r="7" spans="1:30" x14ac:dyDescent="0.25">
      <c r="A7" s="435" t="s">
        <v>15</v>
      </c>
      <c r="B7" s="435"/>
      <c r="C7" s="435"/>
      <c r="D7" s="435"/>
      <c r="E7" s="435"/>
      <c r="F7" s="435"/>
      <c r="G7" s="435"/>
      <c r="H7" s="435"/>
      <c r="I7" s="435"/>
      <c r="J7" s="435"/>
      <c r="K7" s="435"/>
    </row>
    <row r="8" spans="1:30" x14ac:dyDescent="0.25">
      <c r="C8" s="18"/>
      <c r="D8" s="18"/>
      <c r="E8" s="18"/>
      <c r="F8" s="18"/>
      <c r="G8" s="18"/>
      <c r="H8" s="18"/>
      <c r="I8" s="18"/>
      <c r="J8" s="18"/>
      <c r="K8" s="18"/>
    </row>
    <row r="9" spans="1:30" ht="15.5" x14ac:dyDescent="0.35">
      <c r="A9" s="23" t="s">
        <v>2</v>
      </c>
      <c r="B9" s="24"/>
      <c r="C9" s="25">
        <f>'Customer Info'!B7</f>
        <v>0</v>
      </c>
      <c r="I9" s="26"/>
    </row>
    <row r="10" spans="1:30" ht="15.5" x14ac:dyDescent="0.35">
      <c r="A10" s="27" t="s">
        <v>26</v>
      </c>
      <c r="B10" s="24"/>
      <c r="C10" s="25">
        <f>'Customer Info'!B8</f>
        <v>0</v>
      </c>
    </row>
    <row r="11" spans="1:30" ht="13" x14ac:dyDescent="0.3">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ht="13" x14ac:dyDescent="0.3">
      <c r="A12" s="446"/>
      <c r="B12" s="446"/>
      <c r="C12" s="446"/>
      <c r="D12" s="446"/>
      <c r="E12" s="446"/>
      <c r="F12" s="446"/>
      <c r="G12" s="446"/>
      <c r="H12" s="446"/>
      <c r="I12" s="446"/>
      <c r="J12" s="94"/>
      <c r="K12" s="94"/>
      <c r="L12" s="94"/>
      <c r="M12" s="94"/>
      <c r="N12" s="94"/>
      <c r="O12" s="94"/>
      <c r="P12" s="94"/>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ht="13" x14ac:dyDescent="0.3">
      <c r="A13" s="97" t="s">
        <v>27</v>
      </c>
      <c r="B13" s="18"/>
      <c r="C13" s="18"/>
      <c r="D13" s="18"/>
      <c r="E13" s="18"/>
      <c r="F13" s="18"/>
      <c r="G13" s="18"/>
      <c r="H13" s="18"/>
      <c r="I13" s="18"/>
      <c r="R13" s="78" t="s">
        <v>177</v>
      </c>
      <c r="S13" s="193">
        <v>1.8274700000000001E-2</v>
      </c>
      <c r="T13" s="193">
        <v>1.8274700000000001E-2</v>
      </c>
      <c r="U13" s="193">
        <v>1.8274700000000001E-2</v>
      </c>
      <c r="V13" s="193">
        <v>1.8274700000000001E-2</v>
      </c>
      <c r="W13" s="193">
        <v>1.8274700000000001E-2</v>
      </c>
      <c r="X13" s="193">
        <v>1.8274700000000001E-2</v>
      </c>
      <c r="Y13" s="193">
        <v>1.8274700000000001E-2</v>
      </c>
      <c r="Z13" s="193">
        <v>1.8274700000000001E-2</v>
      </c>
      <c r="AA13" s="193">
        <v>1.8274700000000001E-2</v>
      </c>
      <c r="AB13" s="193">
        <v>1.8274700000000001E-2</v>
      </c>
      <c r="AC13" s="193">
        <v>1.8274700000000001E-2</v>
      </c>
      <c r="AD13" s="193">
        <v>1.8274700000000001E-2</v>
      </c>
    </row>
    <row r="14" spans="1:30" x14ac:dyDescent="0.25">
      <c r="A14" s="18"/>
      <c r="B14" s="18"/>
      <c r="C14" s="18"/>
      <c r="D14" s="18"/>
      <c r="E14" s="18"/>
      <c r="F14" s="18"/>
      <c r="G14" s="18"/>
      <c r="H14" s="18"/>
      <c r="I14" s="18"/>
      <c r="R14" s="78" t="s">
        <v>178</v>
      </c>
      <c r="S14" s="193">
        <v>1.8274700000000001E-2</v>
      </c>
      <c r="T14" s="193">
        <v>1.8274700000000001E-2</v>
      </c>
      <c r="U14" s="193">
        <v>1.8274700000000001E-2</v>
      </c>
      <c r="V14" s="193">
        <v>1.8274700000000001E-2</v>
      </c>
      <c r="W14" s="193">
        <v>1.8274700000000001E-2</v>
      </c>
      <c r="X14" s="193">
        <v>1.8274700000000001E-2</v>
      </c>
      <c r="Y14" s="193">
        <v>1.8274700000000001E-2</v>
      </c>
      <c r="Z14" s="193">
        <v>1.8274700000000001E-2</v>
      </c>
      <c r="AA14" s="193">
        <v>1.8274700000000001E-2</v>
      </c>
      <c r="AB14" s="193">
        <v>1.8274700000000001E-2</v>
      </c>
      <c r="AC14" s="193">
        <v>1.8274700000000001E-2</v>
      </c>
      <c r="AD14" s="193">
        <v>1.8274700000000001E-2</v>
      </c>
    </row>
    <row r="15" spans="1:30" x14ac:dyDescent="0.25">
      <c r="A15" s="31" t="s">
        <v>43</v>
      </c>
      <c r="B15" s="31"/>
      <c r="C15" s="32">
        <f>IF('Customer Info'!B21+'Customer Info'!B22-'Customer Info'!B23&lt;0,0,'Customer Info'!B21+'Customer Info'!B22-'Customer Info'!B23)</f>
        <v>0</v>
      </c>
      <c r="D15" s="31" t="s">
        <v>41</v>
      </c>
      <c r="E15" s="31"/>
      <c r="F15" s="33"/>
      <c r="G15" s="31"/>
      <c r="H15" s="31"/>
      <c r="I15" s="31"/>
      <c r="R15" s="3" t="s">
        <v>196</v>
      </c>
      <c r="S15">
        <f>'Rider Rates'!$C$21</f>
        <v>0.10589</v>
      </c>
      <c r="T15">
        <f>'Rider Rates'!$C$21</f>
        <v>0.10589</v>
      </c>
      <c r="U15">
        <f>'Rider Rates'!$C$21</f>
        <v>0.10589</v>
      </c>
      <c r="V15">
        <f>'Rider Rates'!$C$21</f>
        <v>0.10589</v>
      </c>
      <c r="W15">
        <f>'Rider Rates'!$C$21</f>
        <v>0.10589</v>
      </c>
      <c r="X15">
        <f>'Rider Rates'!$B$21</f>
        <v>0.10589</v>
      </c>
      <c r="Y15">
        <f>'Rider Rates'!$B$21</f>
        <v>0.10589</v>
      </c>
      <c r="Z15">
        <f>'Rider Rates'!$B$21</f>
        <v>0.10589</v>
      </c>
      <c r="AA15">
        <f>'Rider Rates'!$B$21</f>
        <v>0.10589</v>
      </c>
      <c r="AB15">
        <f>'Rider Rates'!$C$21</f>
        <v>0.10589</v>
      </c>
      <c r="AC15">
        <f>'Rider Rates'!$C$21</f>
        <v>0.10589</v>
      </c>
      <c r="AD15">
        <f>'Rider Rates'!$C$21</f>
        <v>0.10589</v>
      </c>
    </row>
    <row r="16" spans="1:30" ht="13" x14ac:dyDescent="0.3">
      <c r="A16" s="31"/>
      <c r="B16" s="31"/>
      <c r="C16" s="33"/>
      <c r="D16" s="33"/>
      <c r="E16" s="33"/>
      <c r="F16" s="33"/>
      <c r="G16" s="23"/>
      <c r="H16" s="31"/>
      <c r="I16" s="31"/>
    </row>
    <row r="17" spans="1:221" ht="13" x14ac:dyDescent="0.3">
      <c r="A17" s="28" t="s">
        <v>124</v>
      </c>
      <c r="B17" s="22"/>
      <c r="C17" s="22"/>
      <c r="D17" s="22"/>
      <c r="E17" s="22"/>
      <c r="F17" s="22"/>
      <c r="G17" s="447" t="s">
        <v>67</v>
      </c>
      <c r="H17" s="448"/>
      <c r="I17" s="448"/>
      <c r="J17" s="449"/>
      <c r="K17" s="22"/>
      <c r="L17" s="450" t="s">
        <v>68</v>
      </c>
      <c r="M17" s="450"/>
      <c r="N17" s="450"/>
      <c r="O17" s="450"/>
    </row>
    <row r="18" spans="1:221" ht="13" x14ac:dyDescent="0.3">
      <c r="A18" s="18"/>
      <c r="B18" s="18"/>
      <c r="C18" s="18"/>
      <c r="D18" s="18"/>
      <c r="E18" s="18"/>
      <c r="F18" s="18"/>
      <c r="G18" s="8" t="s">
        <v>64</v>
      </c>
      <c r="H18" s="8" t="s">
        <v>65</v>
      </c>
      <c r="I18" s="8" t="s">
        <v>66</v>
      </c>
      <c r="J18" s="112" t="s">
        <v>34</v>
      </c>
      <c r="K18" s="18"/>
      <c r="L18" s="131" t="s">
        <v>64</v>
      </c>
      <c r="M18" s="131" t="s">
        <v>65</v>
      </c>
      <c r="N18" s="131" t="s">
        <v>66</v>
      </c>
      <c r="O18" s="132" t="s">
        <v>34</v>
      </c>
      <c r="P18" s="43" t="s">
        <v>56</v>
      </c>
    </row>
    <row r="19" spans="1:221" x14ac:dyDescent="0.25">
      <c r="A19" t="s">
        <v>32</v>
      </c>
      <c r="G19" s="83"/>
      <c r="H19" s="83"/>
      <c r="I19" s="125">
        <v>10</v>
      </c>
      <c r="J19" s="125">
        <f>SUM(G19:I19)</f>
        <v>10</v>
      </c>
      <c r="L19" s="125"/>
      <c r="M19" s="125"/>
      <c r="N19" s="125">
        <f>I19</f>
        <v>10</v>
      </c>
      <c r="O19" s="125">
        <f>+SUM(L19:N19)</f>
        <v>10</v>
      </c>
      <c r="P19" s="245">
        <v>44531</v>
      </c>
    </row>
    <row r="20" spans="1:221" x14ac:dyDescent="0.25">
      <c r="A20" t="s">
        <v>305</v>
      </c>
      <c r="D20" s="1">
        <f>C15</f>
        <v>0</v>
      </c>
      <c r="E20" s="35" t="s">
        <v>41</v>
      </c>
      <c r="F20" s="4" t="s">
        <v>8</v>
      </c>
      <c r="G20" s="165"/>
      <c r="H20" s="127"/>
      <c r="I20" s="165">
        <v>2.6312499999999999E-2</v>
      </c>
      <c r="J20" s="127">
        <f>SUM(G20:I20)</f>
        <v>2.6312499999999999E-2</v>
      </c>
      <c r="K20" s="36" t="s">
        <v>42</v>
      </c>
      <c r="L20" s="129"/>
      <c r="M20" s="129"/>
      <c r="N20" s="129">
        <f>ROUND($D20*I20,2)</f>
        <v>0</v>
      </c>
      <c r="O20" s="125">
        <f>+SUM(L20:N20)</f>
        <v>0</v>
      </c>
      <c r="P20" s="245">
        <v>44531</v>
      </c>
    </row>
    <row r="21" spans="1:221" ht="13" x14ac:dyDescent="0.3">
      <c r="A21" s="96" t="s">
        <v>74</v>
      </c>
      <c r="B21" s="37"/>
      <c r="C21" s="37"/>
      <c r="D21" s="38"/>
      <c r="E21" s="38"/>
      <c r="F21" s="37"/>
      <c r="G21" s="37"/>
      <c r="I21" s="40"/>
      <c r="K21" s="39"/>
      <c r="L21" s="95"/>
      <c r="M21" s="54"/>
      <c r="N21" s="95">
        <f>SUM(N17:N20)</f>
        <v>10</v>
      </c>
      <c r="O21" s="95">
        <f>SUM(O19:O20)</f>
        <v>10</v>
      </c>
      <c r="R21" s="175"/>
      <c r="S21" s="108"/>
      <c r="T21" s="109"/>
      <c r="U21" s="78"/>
      <c r="V21" s="110"/>
      <c r="W21" s="78"/>
      <c r="X21" s="78"/>
      <c r="Y21" s="78"/>
      <c r="Z21" s="78"/>
      <c r="AA21" s="78"/>
      <c r="AB21" s="78"/>
      <c r="AC21" s="78"/>
      <c r="AD21" s="78"/>
    </row>
    <row r="22" spans="1:221" ht="13" x14ac:dyDescent="0.3">
      <c r="A22" s="170"/>
      <c r="B22" s="170"/>
      <c r="C22" s="170"/>
      <c r="D22" s="171"/>
      <c r="E22" s="171"/>
      <c r="F22" s="170"/>
      <c r="G22" s="171"/>
      <c r="H22" s="171"/>
      <c r="I22" s="171"/>
      <c r="J22" s="171"/>
      <c r="K22" s="172"/>
      <c r="L22" s="171"/>
      <c r="M22" s="171"/>
      <c r="N22" s="171"/>
      <c r="O22" s="171"/>
      <c r="P22" s="171"/>
      <c r="R22" s="107"/>
      <c r="S22" s="108"/>
      <c r="T22" s="109"/>
      <c r="U22" s="78"/>
      <c r="V22" s="110"/>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69</v>
      </c>
      <c r="B23" s="166"/>
      <c r="C23" s="166"/>
      <c r="D23" s="167"/>
      <c r="E23" s="167"/>
      <c r="F23" s="166"/>
      <c r="G23" s="167"/>
      <c r="H23" s="167"/>
      <c r="I23" s="167"/>
      <c r="J23" s="167"/>
      <c r="K23" s="167"/>
      <c r="L23" s="167"/>
      <c r="M23" s="167"/>
      <c r="N23" s="167"/>
      <c r="O23" s="167"/>
      <c r="P23" s="78"/>
      <c r="R23" s="107"/>
      <c r="S23" s="108"/>
      <c r="T23" s="109"/>
      <c r="U23" s="78"/>
      <c r="V23" s="110"/>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row>
    <row r="24" spans="1:221" x14ac:dyDescent="0.25">
      <c r="A24" s="151"/>
      <c r="B24" s="151"/>
      <c r="C24" s="151"/>
      <c r="D24" s="151"/>
      <c r="E24" s="151"/>
      <c r="F24" s="151"/>
      <c r="G24" s="151"/>
      <c r="H24" s="151"/>
      <c r="I24" s="151"/>
      <c r="J24" s="151"/>
      <c r="K24" s="151"/>
      <c r="L24" s="151"/>
      <c r="M24" s="151"/>
      <c r="N24" s="151"/>
      <c r="O24" s="151"/>
      <c r="P24" s="106"/>
      <c r="R24" s="107"/>
      <c r="S24" s="108"/>
      <c r="T24" s="109"/>
      <c r="U24" s="78"/>
      <c r="V24" s="110"/>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row>
    <row r="25" spans="1:221" x14ac:dyDescent="0.25">
      <c r="A25" s="99" t="s">
        <v>78</v>
      </c>
      <c r="B25" s="176"/>
      <c r="C25" s="176"/>
      <c r="D25" s="100">
        <f>IF($C$15&lt;0,0,IF($C$15&gt;833000,833000,$C$15))</f>
        <v>0</v>
      </c>
      <c r="E25" s="101" t="s">
        <v>41</v>
      </c>
      <c r="F25" s="102" t="s">
        <v>8</v>
      </c>
      <c r="G25" s="103"/>
      <c r="H25" s="103"/>
      <c r="I25" s="103">
        <f>'Rider Rates'!$B$4</f>
        <v>5.9216E-3</v>
      </c>
      <c r="J25" s="201">
        <f t="shared" ref="J25:J45" si="0">SUM(G25:I25)</f>
        <v>5.9216E-3</v>
      </c>
      <c r="K25" s="104" t="s">
        <v>42</v>
      </c>
      <c r="L25" s="105"/>
      <c r="M25" s="105"/>
      <c r="N25" s="105">
        <f t="shared" ref="N25:N30" si="1">ROUND(D25*I25,2)</f>
        <v>0</v>
      </c>
      <c r="O25" s="105">
        <f t="shared" ref="O25:O46" si="2">SUM(L25:N25)</f>
        <v>0</v>
      </c>
      <c r="P25" s="245">
        <f>'Rider Rates'!$D$4</f>
        <v>45293</v>
      </c>
      <c r="R25" s="107"/>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99" t="s">
        <v>79</v>
      </c>
      <c r="B26" s="78"/>
      <c r="C26" s="78"/>
      <c r="D26" s="123">
        <f>IF($C$15&gt;833000,$C$15-833000,0)</f>
        <v>0</v>
      </c>
      <c r="E26" s="101" t="s">
        <v>41</v>
      </c>
      <c r="F26" s="102" t="s">
        <v>8</v>
      </c>
      <c r="G26" s="103"/>
      <c r="H26" s="103"/>
      <c r="I26" s="103">
        <f>'Rider Rates'!$B$5</f>
        <v>1.7560000000000001E-4</v>
      </c>
      <c r="J26" s="201">
        <f t="shared" si="0"/>
        <v>1.7560000000000001E-4</v>
      </c>
      <c r="K26" s="104" t="s">
        <v>42</v>
      </c>
      <c r="L26" s="105"/>
      <c r="M26" s="105"/>
      <c r="N26" s="105">
        <f t="shared" si="1"/>
        <v>0</v>
      </c>
      <c r="O26" s="105">
        <f t="shared" si="2"/>
        <v>0</v>
      </c>
      <c r="P26" s="245">
        <f>'Rider Rates'!$D$4</f>
        <v>45293</v>
      </c>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96</v>
      </c>
      <c r="B27" s="78"/>
      <c r="C27" s="78"/>
      <c r="D27" s="100">
        <f>IF($C$15&lt;0,0,IF($C$15&gt;2000,2000,$C$15))</f>
        <v>0</v>
      </c>
      <c r="E27" s="101" t="s">
        <v>41</v>
      </c>
      <c r="F27" s="102" t="s">
        <v>8</v>
      </c>
      <c r="G27" s="103"/>
      <c r="H27" s="103"/>
      <c r="I27" s="177">
        <f>'Rider Rates'!$B$8</f>
        <v>4.6499999999999996E-3</v>
      </c>
      <c r="J27" s="177">
        <f t="shared" si="0"/>
        <v>4.6499999999999996E-3</v>
      </c>
      <c r="K27" s="104" t="s">
        <v>42</v>
      </c>
      <c r="L27" s="105"/>
      <c r="M27" s="105"/>
      <c r="N27" s="105">
        <f t="shared" si="1"/>
        <v>0</v>
      </c>
      <c r="O27" s="105">
        <f t="shared" si="2"/>
        <v>0</v>
      </c>
      <c r="P27" s="245">
        <f>'Rider Rates'!$D$7</f>
        <v>44531</v>
      </c>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97</v>
      </c>
      <c r="B28" s="78"/>
      <c r="C28" s="78"/>
      <c r="D28" s="100">
        <f>IF($C$15&lt;=2000,0,IF($C$15=0,0,IF($C$15-2000&gt;13000,13000,$C$15-2000)))</f>
        <v>0</v>
      </c>
      <c r="E28" s="101" t="s">
        <v>41</v>
      </c>
      <c r="F28" s="102" t="s">
        <v>8</v>
      </c>
      <c r="G28" s="103"/>
      <c r="H28" s="103"/>
      <c r="I28" s="177">
        <f>'Rider Rates'!$B$9</f>
        <v>4.1900000000000001E-3</v>
      </c>
      <c r="J28" s="177">
        <f t="shared" si="0"/>
        <v>4.1900000000000001E-3</v>
      </c>
      <c r="K28" s="104" t="s">
        <v>42</v>
      </c>
      <c r="L28" s="105"/>
      <c r="M28" s="105"/>
      <c r="N28" s="105">
        <f t="shared" si="1"/>
        <v>0</v>
      </c>
      <c r="O28" s="105">
        <f t="shared" si="2"/>
        <v>0</v>
      </c>
      <c r="P28" s="245">
        <f>'Rider Rates'!$D$7</f>
        <v>44531</v>
      </c>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98</v>
      </c>
      <c r="B29" s="78"/>
      <c r="C29" s="78"/>
      <c r="D29" s="100">
        <f>IF($C$15=0,0,IF($C$15-15000&gt;=0,$C$15-15000,0))</f>
        <v>0</v>
      </c>
      <c r="E29" s="101" t="s">
        <v>41</v>
      </c>
      <c r="F29" s="102" t="s">
        <v>8</v>
      </c>
      <c r="G29" s="103"/>
      <c r="H29" s="103"/>
      <c r="I29" s="177">
        <f>'Rider Rates'!$B$10</f>
        <v>3.63E-3</v>
      </c>
      <c r="J29" s="177">
        <f t="shared" si="0"/>
        <v>3.63E-3</v>
      </c>
      <c r="K29" s="104" t="s">
        <v>42</v>
      </c>
      <c r="L29" s="105"/>
      <c r="M29" s="105"/>
      <c r="N29" s="105">
        <f t="shared" si="1"/>
        <v>0</v>
      </c>
      <c r="O29" s="105">
        <f t="shared" si="2"/>
        <v>0</v>
      </c>
      <c r="P29" s="245">
        <f>'Rider Rates'!$D$7</f>
        <v>44531</v>
      </c>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210" t="s">
        <v>160</v>
      </c>
      <c r="B30" s="78"/>
      <c r="C30" s="78"/>
      <c r="D30" s="100">
        <f>IF($C$15&lt;0,0,$C$15)</f>
        <v>0</v>
      </c>
      <c r="E30" s="101" t="s">
        <v>41</v>
      </c>
      <c r="F30" s="102" t="s">
        <v>8</v>
      </c>
      <c r="G30" s="103"/>
      <c r="H30" s="103"/>
      <c r="I30" s="103">
        <f>'Rider Rates'!$B$15</f>
        <v>0</v>
      </c>
      <c r="J30" s="103">
        <f>SUM(G30:I30)</f>
        <v>0</v>
      </c>
      <c r="K30" s="104" t="s">
        <v>42</v>
      </c>
      <c r="L30" s="105"/>
      <c r="M30" s="105"/>
      <c r="N30" s="105">
        <f t="shared" si="1"/>
        <v>0</v>
      </c>
      <c r="O30" s="105">
        <f t="shared" ref="O30:O37" si="3">SUM(L30:N30)</f>
        <v>0</v>
      </c>
      <c r="P30" s="245">
        <f>'Rider Rates'!$D$15</f>
        <v>45167</v>
      </c>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ht="13" x14ac:dyDescent="0.3">
      <c r="A31" s="210" t="s">
        <v>247</v>
      </c>
      <c r="B31" s="78"/>
      <c r="C31" s="78"/>
      <c r="D31" s="195">
        <f>$N$21</f>
        <v>10</v>
      </c>
      <c r="E31" s="101" t="s">
        <v>121</v>
      </c>
      <c r="F31" s="102" t="s">
        <v>8</v>
      </c>
      <c r="G31" s="103"/>
      <c r="H31" s="103"/>
      <c r="I31" s="178">
        <f>'Rider Rates'!$B$18+'Rider Rates'!$E$18</f>
        <v>0</v>
      </c>
      <c r="J31" s="178">
        <f>SUM(G31:I31)</f>
        <v>0</v>
      </c>
      <c r="K31" s="104"/>
      <c r="L31" s="105"/>
      <c r="M31" s="105"/>
      <c r="N31" s="105">
        <f>ROUND($D$31*'Rider Rates'!$B$18,2)+ROUND($D$31*'Rider Rates'!$E$18,2)</f>
        <v>0</v>
      </c>
      <c r="O31" s="105">
        <f t="shared" si="3"/>
        <v>0</v>
      </c>
      <c r="P31" s="245">
        <f>MAX('Rider Rates'!$D$18,'Rider Rates'!$F$18)</f>
        <v>44531</v>
      </c>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10" t="s">
        <v>195</v>
      </c>
      <c r="B32" s="78"/>
      <c r="C32" s="78"/>
      <c r="D32" s="100">
        <f>'Customer Info'!$B$21+'Customer Info'!$B$22</f>
        <v>0</v>
      </c>
      <c r="E32" s="101" t="s">
        <v>41</v>
      </c>
      <c r="F32" s="102" t="s">
        <v>8</v>
      </c>
      <c r="G32" s="103">
        <f>'Rider Rates'!B22</f>
        <v>0.10589</v>
      </c>
      <c r="H32" s="103"/>
      <c r="I32" s="103"/>
      <c r="J32" s="237">
        <f>SUM(G32:H32)</f>
        <v>0.10589</v>
      </c>
      <c r="K32" s="104" t="s">
        <v>42</v>
      </c>
      <c r="L32" s="105">
        <f>ROUND(D32*G32,2)</f>
        <v>0</v>
      </c>
      <c r="M32" s="105"/>
      <c r="N32" s="105"/>
      <c r="O32" s="105">
        <f t="shared" si="3"/>
        <v>0</v>
      </c>
      <c r="P32" s="245">
        <f>'Rider Rates'!$D$21</f>
        <v>45078</v>
      </c>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241" t="s">
        <v>181</v>
      </c>
      <c r="B33" s="78"/>
      <c r="C33" s="78"/>
      <c r="D33" s="100">
        <f>'Customer Info'!$B$22</f>
        <v>0</v>
      </c>
      <c r="E33" s="101" t="s">
        <v>41</v>
      </c>
      <c r="F33" s="102" t="s">
        <v>8</v>
      </c>
      <c r="G33" s="103">
        <f>'Rider Rates'!B33</f>
        <v>2.3035E-3</v>
      </c>
      <c r="H33" s="103"/>
      <c r="I33" s="103"/>
      <c r="J33" s="237">
        <f>SUM(G33:H33)</f>
        <v>2.3035E-3</v>
      </c>
      <c r="K33" s="104" t="s">
        <v>42</v>
      </c>
      <c r="L33" s="105">
        <f>ROUND(D33*G33,2)</f>
        <v>0</v>
      </c>
      <c r="M33" s="105"/>
      <c r="N33" s="105"/>
      <c r="O33" s="105">
        <f t="shared" si="3"/>
        <v>0</v>
      </c>
      <c r="P33" s="245">
        <f>'Rider Rates'!$D$32</f>
        <v>45078</v>
      </c>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41" t="s">
        <v>182</v>
      </c>
      <c r="B34" s="78"/>
      <c r="C34" s="78"/>
      <c r="D34" s="100">
        <f>'Customer Info'!$B$21</f>
        <v>0</v>
      </c>
      <c r="E34" s="101" t="s">
        <v>41</v>
      </c>
      <c r="F34" s="102" t="s">
        <v>8</v>
      </c>
      <c r="G34" s="103">
        <f>'Rider Rates'!B32</f>
        <v>6.7145E-3</v>
      </c>
      <c r="H34" s="103"/>
      <c r="I34" s="103"/>
      <c r="J34" s="237">
        <f>SUM(G34:H34)</f>
        <v>6.7145E-3</v>
      </c>
      <c r="K34" s="104" t="s">
        <v>42</v>
      </c>
      <c r="L34" s="105">
        <f>ROUND(D34*G34,2)</f>
        <v>0</v>
      </c>
      <c r="M34" s="105"/>
      <c r="N34" s="105"/>
      <c r="O34" s="105">
        <f t="shared" si="3"/>
        <v>0</v>
      </c>
      <c r="P34" s="245">
        <f>'Rider Rates'!$D$33</f>
        <v>45078</v>
      </c>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10" t="s">
        <v>202</v>
      </c>
      <c r="B35" s="78"/>
      <c r="C35" s="78"/>
      <c r="D35" s="100">
        <f>'Customer Info'!$B$21+'Customer Info'!$B$22</f>
        <v>0</v>
      </c>
      <c r="E35" s="101" t="s">
        <v>41</v>
      </c>
      <c r="F35" s="102" t="s">
        <v>8</v>
      </c>
      <c r="G35" s="103">
        <f>'Rider Rates'!B46</f>
        <v>-4.8640000000000001E-4</v>
      </c>
      <c r="H35" s="103"/>
      <c r="I35" s="103"/>
      <c r="J35" s="237">
        <f>SUM(G35:H35)</f>
        <v>-4.8640000000000001E-4</v>
      </c>
      <c r="K35" s="104" t="s">
        <v>42</v>
      </c>
      <c r="L35" s="105">
        <f>ROUND(D35*G35,2)</f>
        <v>0</v>
      </c>
      <c r="M35" s="105"/>
      <c r="N35" s="105"/>
      <c r="O35" s="105">
        <f>SUM(L35:N35)</f>
        <v>0</v>
      </c>
      <c r="P35" s="245">
        <f>'Rider Rates'!$D$46</f>
        <v>45383</v>
      </c>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41" t="s">
        <v>220</v>
      </c>
      <c r="B36" s="78"/>
      <c r="C36" s="78"/>
      <c r="D36" s="100"/>
      <c r="E36" s="101" t="s">
        <v>114</v>
      </c>
      <c r="F36" s="102" t="s">
        <v>15</v>
      </c>
      <c r="G36" s="103"/>
      <c r="H36" s="103"/>
      <c r="I36" s="103">
        <f>'Rider Rates'!D49</f>
        <v>1.47</v>
      </c>
      <c r="J36" s="103">
        <f>SUM(G36:I36)</f>
        <v>1.47</v>
      </c>
      <c r="K36" s="104" t="s">
        <v>42</v>
      </c>
      <c r="L36" s="105"/>
      <c r="M36" s="105"/>
      <c r="N36" s="105">
        <f>J36</f>
        <v>1.47</v>
      </c>
      <c r="O36" s="105">
        <f>SUM(L36:N36)</f>
        <v>1.47</v>
      </c>
      <c r="P36" s="245">
        <f>'Rider Rates'!E49</f>
        <v>45292</v>
      </c>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10" t="s">
        <v>198</v>
      </c>
      <c r="B37" s="78"/>
      <c r="C37" s="78"/>
      <c r="D37" s="100">
        <f>IF($C$15&lt;0,0,$C$15)</f>
        <v>0</v>
      </c>
      <c r="E37" s="113" t="s">
        <v>41</v>
      </c>
      <c r="F37" s="102" t="s">
        <v>8</v>
      </c>
      <c r="G37" s="103"/>
      <c r="H37" s="103">
        <f>'Rider Rates'!$B$56</f>
        <v>4.3837099999999997E-2</v>
      </c>
      <c r="I37" s="103"/>
      <c r="J37" s="103">
        <f>SUM(G37:I37)</f>
        <v>4.3837099999999997E-2</v>
      </c>
      <c r="K37" s="104" t="s">
        <v>42</v>
      </c>
      <c r="L37" s="105"/>
      <c r="M37" s="105">
        <f>ROUND(D37*H37,2)</f>
        <v>0</v>
      </c>
      <c r="N37" s="205"/>
      <c r="O37" s="105">
        <f t="shared" si="3"/>
        <v>0</v>
      </c>
      <c r="P37" s="245">
        <f>'Rider Rates'!$D$56</f>
        <v>45383</v>
      </c>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99" t="s">
        <v>95</v>
      </c>
      <c r="B38" s="78"/>
      <c r="C38" s="78"/>
      <c r="D38" s="100">
        <f>IF('Customer Info'!C34=TRUE,0,IF($C$15&lt;0,0,$C$15))</f>
        <v>0</v>
      </c>
      <c r="E38" s="101" t="s">
        <v>41</v>
      </c>
      <c r="F38" s="102" t="s">
        <v>8</v>
      </c>
      <c r="G38" s="103"/>
      <c r="H38" s="103"/>
      <c r="I38" s="103">
        <f>'Rider Rates'!$B$68+'Rider Rates'!$C$68</f>
        <v>0</v>
      </c>
      <c r="J38" s="103">
        <f t="shared" si="0"/>
        <v>0</v>
      </c>
      <c r="K38" s="104" t="s">
        <v>42</v>
      </c>
      <c r="L38" s="105"/>
      <c r="M38" s="105"/>
      <c r="N38" s="105">
        <f>ROUND($D$38*'Rider Rates'!$B$68,2)+ROUND($D$38*'Rider Rates'!$C$68,2)</f>
        <v>0</v>
      </c>
      <c r="O38" s="105">
        <f t="shared" si="2"/>
        <v>0</v>
      </c>
      <c r="P38" s="245">
        <f>'Rider Rates'!$D$68</f>
        <v>44531</v>
      </c>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ht="13" x14ac:dyDescent="0.3">
      <c r="A39" s="99" t="s">
        <v>80</v>
      </c>
      <c r="B39" s="78"/>
      <c r="C39" s="78"/>
      <c r="D39" s="195">
        <f>$N$21</f>
        <v>10</v>
      </c>
      <c r="E39" s="101" t="s">
        <v>121</v>
      </c>
      <c r="F39" s="102" t="s">
        <v>8</v>
      </c>
      <c r="G39" s="111"/>
      <c r="H39" s="112"/>
      <c r="I39" s="120">
        <f>'Rider Rates'!$B$84</f>
        <v>2.9347000000000002E-2</v>
      </c>
      <c r="J39" s="120">
        <f t="shared" si="0"/>
        <v>2.9347000000000002E-2</v>
      </c>
      <c r="K39" s="104"/>
      <c r="L39" s="105"/>
      <c r="M39" s="105"/>
      <c r="N39" s="105">
        <f>ROUND(D39*I39,2)</f>
        <v>0.28999999999999998</v>
      </c>
      <c r="O39" s="105">
        <f t="shared" si="2"/>
        <v>0.28999999999999998</v>
      </c>
      <c r="P39" s="245">
        <f>'Rider Rates'!$D$84</f>
        <v>45383</v>
      </c>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ht="13" x14ac:dyDescent="0.3">
      <c r="A40" s="99" t="s">
        <v>81</v>
      </c>
      <c r="B40" s="78"/>
      <c r="C40" s="78"/>
      <c r="D40" s="195">
        <f>$N$21</f>
        <v>10</v>
      </c>
      <c r="E40" s="101" t="s">
        <v>121</v>
      </c>
      <c r="F40" s="102" t="s">
        <v>8</v>
      </c>
      <c r="G40" s="114"/>
      <c r="H40" s="115"/>
      <c r="I40" s="120">
        <f>'Rider Rates'!$B$86</f>
        <v>6.6985699999999995E-2</v>
      </c>
      <c r="J40" s="120">
        <f t="shared" si="0"/>
        <v>6.6985699999999995E-2</v>
      </c>
      <c r="K40" s="104"/>
      <c r="L40" s="105"/>
      <c r="M40" s="105"/>
      <c r="N40" s="105">
        <f>ROUND(D40*I40,2)</f>
        <v>0.67</v>
      </c>
      <c r="O40" s="105">
        <f t="shared" si="2"/>
        <v>0.67</v>
      </c>
      <c r="P40" s="245">
        <f>'Rider Rates'!$D$86</f>
        <v>45167</v>
      </c>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ht="13" x14ac:dyDescent="0.3">
      <c r="A41" s="210" t="s">
        <v>216</v>
      </c>
      <c r="B41" s="78"/>
      <c r="C41" s="78"/>
      <c r="D41" s="195"/>
      <c r="E41" s="113" t="s">
        <v>114</v>
      </c>
      <c r="F41" s="106"/>
      <c r="G41" s="114"/>
      <c r="H41" s="115"/>
      <c r="I41" s="196">
        <f>'Rider Rates'!$B$89</f>
        <v>1.95</v>
      </c>
      <c r="J41" s="196">
        <f t="shared" si="0"/>
        <v>1.95</v>
      </c>
      <c r="K41" s="104"/>
      <c r="L41" s="105"/>
      <c r="M41" s="105"/>
      <c r="N41" s="105">
        <f>I41</f>
        <v>1.95</v>
      </c>
      <c r="O41" s="105">
        <f t="shared" si="2"/>
        <v>1.95</v>
      </c>
      <c r="P41" s="245">
        <f>'Rider Rates'!$D$89</f>
        <v>45259</v>
      </c>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5">
      <c r="A42" s="210" t="s">
        <v>249</v>
      </c>
      <c r="B42" s="78"/>
      <c r="C42" s="78"/>
      <c r="D42" s="100">
        <f>IF($C$15&lt;0,0,$C$15)</f>
        <v>0</v>
      </c>
      <c r="E42" s="101" t="s">
        <v>41</v>
      </c>
      <c r="F42" s="102" t="s">
        <v>8</v>
      </c>
      <c r="G42" s="103"/>
      <c r="H42" s="103"/>
      <c r="I42" s="103"/>
      <c r="J42" s="103">
        <f>'Rider Rates'!$B$93</f>
        <v>0</v>
      </c>
      <c r="K42" s="104" t="s">
        <v>42</v>
      </c>
      <c r="L42" s="105"/>
      <c r="M42" s="105"/>
      <c r="N42" s="105"/>
      <c r="O42" s="105">
        <f>ROUND($D42*('Rider Rates'!B$93),2)</f>
        <v>0</v>
      </c>
      <c r="P42" s="245">
        <f>'Rider Rates'!$D$93</f>
        <v>44531</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99" t="s">
        <v>157</v>
      </c>
      <c r="B43" s="78"/>
      <c r="C43" s="78"/>
      <c r="D43" s="195">
        <f>$N$21</f>
        <v>10</v>
      </c>
      <c r="E43" s="101" t="s">
        <v>121</v>
      </c>
      <c r="F43" s="102" t="s">
        <v>8</v>
      </c>
      <c r="G43" s="114"/>
      <c r="H43" s="115"/>
      <c r="I43" s="120">
        <f>'Rider Rates'!$B$104</f>
        <v>0.21398439999999999</v>
      </c>
      <c r="J43" s="120">
        <f t="shared" si="0"/>
        <v>0.21398439999999999</v>
      </c>
      <c r="K43" s="104"/>
      <c r="L43" s="105"/>
      <c r="M43" s="105"/>
      <c r="N43" s="105">
        <f>ROUND(D43*I43,2)</f>
        <v>2.14</v>
      </c>
      <c r="O43" s="105">
        <f t="shared" si="2"/>
        <v>2.14</v>
      </c>
      <c r="P43" s="245">
        <f>'Rider Rates'!$D$104</f>
        <v>45351</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ht="13" x14ac:dyDescent="0.3">
      <c r="A44" s="210" t="s">
        <v>219</v>
      </c>
      <c r="B44" s="78"/>
      <c r="C44" s="78"/>
      <c r="D44" s="195"/>
      <c r="E44" s="113" t="s">
        <v>114</v>
      </c>
      <c r="F44" s="106"/>
      <c r="G44" s="114"/>
      <c r="H44" s="115"/>
      <c r="I44" s="196">
        <f>'Rider Rates'!$B$107</f>
        <v>0</v>
      </c>
      <c r="J44" s="196">
        <f t="shared" si="0"/>
        <v>0</v>
      </c>
      <c r="K44" s="104"/>
      <c r="L44" s="105"/>
      <c r="M44" s="105"/>
      <c r="N44" s="105">
        <f>I44</f>
        <v>0</v>
      </c>
      <c r="O44" s="105">
        <f t="shared" si="2"/>
        <v>0</v>
      </c>
      <c r="P44" s="245">
        <f>'Rider Rates'!$D$107</f>
        <v>44894</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210" t="s">
        <v>227</v>
      </c>
      <c r="B45" s="78"/>
      <c r="C45" s="78"/>
      <c r="D45" s="195"/>
      <c r="E45" s="113" t="s">
        <v>114</v>
      </c>
      <c r="F45" s="106"/>
      <c r="G45" s="114"/>
      <c r="H45" s="115"/>
      <c r="I45" s="260">
        <f>'Rider Rates'!B120</f>
        <v>1.26</v>
      </c>
      <c r="J45" s="196">
        <f t="shared" si="0"/>
        <v>1.26</v>
      </c>
      <c r="K45" s="104"/>
      <c r="L45" s="105"/>
      <c r="M45" s="105"/>
      <c r="N45" s="262">
        <f>I45</f>
        <v>1.26</v>
      </c>
      <c r="O45" s="105">
        <f t="shared" si="2"/>
        <v>1.26</v>
      </c>
      <c r="P45" s="245">
        <f>'Rider Rates'!D120</f>
        <v>45226</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x14ac:dyDescent="0.25">
      <c r="A46" s="99" t="s">
        <v>158</v>
      </c>
      <c r="B46" s="78"/>
      <c r="C46" s="78"/>
      <c r="D46" s="100">
        <f>'Customer Info'!$B$21+'Customer Info'!$B$22</f>
        <v>0</v>
      </c>
      <c r="E46" s="101" t="s">
        <v>41</v>
      </c>
      <c r="F46" s="102" t="s">
        <v>8</v>
      </c>
      <c r="G46" s="103">
        <f>'Rider Rates'!$B$111</f>
        <v>3.8972999999999998E-3</v>
      </c>
      <c r="H46" s="103"/>
      <c r="I46" s="120"/>
      <c r="J46" s="237">
        <f>SUM(G46:H46)</f>
        <v>3.8972999999999998E-3</v>
      </c>
      <c r="K46" s="104" t="s">
        <v>42</v>
      </c>
      <c r="L46" s="105">
        <f>ROUND(D46*G46,2)</f>
        <v>0</v>
      </c>
      <c r="M46" s="105"/>
      <c r="N46" s="105"/>
      <c r="O46" s="105">
        <f t="shared" si="2"/>
        <v>0</v>
      </c>
      <c r="P46" s="245">
        <f>'Rider Rates'!$D$111</f>
        <v>44531</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x14ac:dyDescent="0.25">
      <c r="A47" s="210" t="s">
        <v>218</v>
      </c>
      <c r="B47" s="78"/>
      <c r="C47" s="78"/>
      <c r="D47" s="100">
        <f>IF($C$15&lt;1,0,$C$15)</f>
        <v>0</v>
      </c>
      <c r="E47" s="101" t="s">
        <v>41</v>
      </c>
      <c r="F47" s="249" t="s">
        <v>8</v>
      </c>
      <c r="G47" s="165"/>
      <c r="H47" s="165"/>
      <c r="I47" s="251">
        <f>'Rider Rates'!B116</f>
        <v>-2.3000000000000001E-4</v>
      </c>
      <c r="J47" s="251">
        <f>SUM(G47:I47)</f>
        <v>-2.3000000000000001E-4</v>
      </c>
      <c r="K47" s="104" t="s">
        <v>42</v>
      </c>
      <c r="L47" s="105"/>
      <c r="M47" s="105"/>
      <c r="N47" s="105">
        <f>D47*J47</f>
        <v>0</v>
      </c>
      <c r="O47" s="105">
        <f>SUM(L47:N47)</f>
        <v>0</v>
      </c>
      <c r="P47" s="245">
        <f>'Rider Rates'!D116</f>
        <v>44531</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41" t="s">
        <v>240</v>
      </c>
      <c r="B48" s="78"/>
      <c r="C48" s="78"/>
      <c r="D48" s="100"/>
      <c r="E48" s="101" t="s">
        <v>114</v>
      </c>
      <c r="F48" s="102" t="s">
        <v>8</v>
      </c>
      <c r="G48" s="265"/>
      <c r="H48" s="265"/>
      <c r="I48" s="265">
        <f>'Rider Rates'!$B$124</f>
        <v>0.1</v>
      </c>
      <c r="J48" s="265">
        <f>SUM(G48:I48)</f>
        <v>0.1</v>
      </c>
      <c r="K48" s="104"/>
      <c r="L48" s="209"/>
      <c r="M48" s="209"/>
      <c r="N48" s="209">
        <f>J48</f>
        <v>0.1</v>
      </c>
      <c r="O48" s="209">
        <f>SUM(L48:N48)</f>
        <v>0.1</v>
      </c>
      <c r="P48" s="266">
        <f>'Rider Rates'!$E$124</f>
        <v>44927</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x14ac:dyDescent="0.25">
      <c r="A49" s="241" t="s">
        <v>252</v>
      </c>
      <c r="B49" s="78"/>
      <c r="C49" s="78"/>
      <c r="D49" s="100">
        <f>C15</f>
        <v>0</v>
      </c>
      <c r="E49" s="101" t="s">
        <v>41</v>
      </c>
      <c r="F49" s="249" t="s">
        <v>8</v>
      </c>
      <c r="G49" s="103"/>
      <c r="H49" s="103"/>
      <c r="I49" s="103">
        <f>'Rider Rates'!$B$129</f>
        <v>0</v>
      </c>
      <c r="J49" s="237">
        <f>SUM(G49:I49)</f>
        <v>0</v>
      </c>
      <c r="K49" s="104" t="s">
        <v>42</v>
      </c>
      <c r="L49" s="105"/>
      <c r="M49" s="105"/>
      <c r="N49" s="105">
        <f>D49*J49</f>
        <v>0</v>
      </c>
      <c r="O49" s="105">
        <f>SUM(L49:N49)</f>
        <v>0</v>
      </c>
      <c r="P49" s="245">
        <f>'Rider Rates'!D129</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x14ac:dyDescent="0.25">
      <c r="A50" s="241" t="s">
        <v>251</v>
      </c>
      <c r="B50" s="78"/>
      <c r="C50" s="78"/>
      <c r="D50" s="100"/>
      <c r="E50" s="101" t="s">
        <v>114</v>
      </c>
      <c r="F50" s="102" t="s">
        <v>8</v>
      </c>
      <c r="G50" s="265"/>
      <c r="H50" s="265"/>
      <c r="I50" s="265">
        <f>'Rider Rates'!$B$136</f>
        <v>0</v>
      </c>
      <c r="J50" s="265">
        <f>SUM(G50:I50)</f>
        <v>0</v>
      </c>
      <c r="K50" s="104"/>
      <c r="L50" s="209"/>
      <c r="M50" s="209"/>
      <c r="N50" s="209">
        <f>J50</f>
        <v>0</v>
      </c>
      <c r="O50" s="209">
        <f>SUM(L50:N50)</f>
        <v>0</v>
      </c>
      <c r="P50" s="266">
        <f>'Rider Rates'!$D$132</f>
        <v>44531</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x14ac:dyDescent="0.25">
      <c r="A51" s="241" t="s">
        <v>253</v>
      </c>
      <c r="B51" s="78"/>
      <c r="C51" s="78"/>
      <c r="D51" s="100"/>
      <c r="E51" s="101"/>
      <c r="F51" s="102"/>
      <c r="G51" s="265"/>
      <c r="H51" s="265"/>
      <c r="I51" s="265"/>
      <c r="J51" s="265"/>
      <c r="K51" s="104"/>
      <c r="L51" s="209"/>
      <c r="M51" s="209"/>
      <c r="N51" s="209"/>
      <c r="O51" s="209"/>
      <c r="P51" s="266"/>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ht="13" x14ac:dyDescent="0.3">
      <c r="A52" s="179" t="s">
        <v>70</v>
      </c>
      <c r="B52" s="148"/>
      <c r="C52" s="148"/>
      <c r="D52" s="180"/>
      <c r="E52" s="181"/>
      <c r="F52" s="182"/>
      <c r="G52" s="182"/>
      <c r="H52" s="182"/>
      <c r="I52" s="182"/>
      <c r="J52" s="182"/>
      <c r="K52" s="183"/>
      <c r="L52" s="169">
        <f>SUM(L25:L51)</f>
        <v>0</v>
      </c>
      <c r="M52" s="169">
        <f>SUM(M25:M51)</f>
        <v>0</v>
      </c>
      <c r="N52" s="169">
        <f>SUM(N25:N51)</f>
        <v>7.879999999999999</v>
      </c>
      <c r="O52" s="169">
        <f>SUM(O25:O51)</f>
        <v>7.879999999999999</v>
      </c>
      <c r="P52" s="184"/>
      <c r="Q52" s="106"/>
      <c r="R52" s="166"/>
      <c r="S52" s="166"/>
      <c r="T52" s="189"/>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ht="13" x14ac:dyDescent="0.3">
      <c r="A53" s="78"/>
      <c r="B53" s="78"/>
      <c r="C53" s="78"/>
      <c r="D53" s="100"/>
      <c r="E53" s="113"/>
      <c r="F53" s="106"/>
      <c r="G53" s="106"/>
      <c r="H53" s="106"/>
      <c r="I53" s="106"/>
      <c r="J53" s="107"/>
      <c r="K53" s="104"/>
      <c r="L53" s="106"/>
      <c r="M53" s="106"/>
      <c r="N53" s="106"/>
      <c r="O53" s="106"/>
      <c r="P53" s="164"/>
      <c r="Q53" s="106"/>
      <c r="R53" s="166"/>
      <c r="S53" s="166"/>
      <c r="T53" s="189"/>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ht="13" x14ac:dyDescent="0.3">
      <c r="A54" s="170"/>
      <c r="B54" s="170"/>
      <c r="C54" s="170"/>
      <c r="D54" s="170"/>
      <c r="E54" s="170"/>
      <c r="F54" s="170"/>
      <c r="G54" s="170"/>
      <c r="H54" s="170"/>
      <c r="I54" s="170"/>
      <c r="J54" s="170"/>
      <c r="K54" s="170"/>
      <c r="L54" s="186">
        <f>L21+L52</f>
        <v>0</v>
      </c>
      <c r="M54" s="186">
        <f>M21+M52</f>
        <v>0</v>
      </c>
      <c r="N54" s="186">
        <f>N21+N52</f>
        <v>17.88</v>
      </c>
      <c r="O54" s="187">
        <f>O21+O52</f>
        <v>17.88</v>
      </c>
      <c r="P54" s="187"/>
      <c r="Q54" s="106"/>
      <c r="R54" s="166"/>
      <c r="S54" s="166"/>
      <c r="T54" s="189"/>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ht="13" x14ac:dyDescent="0.3">
      <c r="A55" s="204"/>
      <c r="B55" s="78"/>
      <c r="C55" s="78"/>
      <c r="D55" s="78"/>
      <c r="E55" s="78"/>
      <c r="F55" s="78"/>
      <c r="G55" s="78"/>
      <c r="H55" s="78"/>
      <c r="I55" s="78"/>
      <c r="J55" s="78"/>
      <c r="K55" s="78"/>
      <c r="L55" s="78"/>
      <c r="M55" s="78"/>
      <c r="N55" s="151"/>
      <c r="O55" s="151"/>
      <c r="P55" s="151"/>
      <c r="Q55" s="166"/>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ht="13" x14ac:dyDescent="0.3">
      <c r="A56" s="147"/>
      <c r="B56" s="78"/>
      <c r="C56" s="78"/>
      <c r="D56" s="78"/>
      <c r="E56" s="78"/>
      <c r="F56" s="78"/>
      <c r="G56" s="78"/>
      <c r="H56" s="78"/>
      <c r="I56" s="78"/>
      <c r="J56" s="78"/>
      <c r="K56" s="78"/>
      <c r="L56" s="78"/>
      <c r="M56" s="78"/>
      <c r="N56" s="151"/>
      <c r="O56" s="151"/>
      <c r="P56" s="151"/>
      <c r="Q56" s="166"/>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ht="13" x14ac:dyDescent="0.3">
      <c r="A57" s="166" t="s">
        <v>92</v>
      </c>
      <c r="B57" s="78"/>
      <c r="C57" s="78"/>
      <c r="D57" s="166"/>
      <c r="E57" s="78"/>
      <c r="F57" s="78"/>
      <c r="G57" s="78"/>
      <c r="H57" s="78"/>
      <c r="I57" s="78"/>
      <c r="J57" s="78"/>
      <c r="K57" s="78"/>
      <c r="L57" s="78"/>
      <c r="M57" s="78"/>
      <c r="N57" s="78"/>
      <c r="O57" s="109">
        <f>IF($C$15&lt;=0,MIN(O19,O54), O19)</f>
        <v>10</v>
      </c>
      <c r="P57" s="151"/>
      <c r="Q57" s="166"/>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ht="13" x14ac:dyDescent="0.3">
      <c r="A58" s="147"/>
      <c r="B58" s="166"/>
      <c r="C58" s="166"/>
      <c r="D58" s="166"/>
      <c r="E58" s="166"/>
      <c r="F58" s="166"/>
      <c r="G58" s="166"/>
      <c r="H58" s="166"/>
      <c r="I58" s="78"/>
      <c r="J58" s="78"/>
      <c r="K58" s="78"/>
      <c r="L58" s="78"/>
      <c r="M58" s="78"/>
      <c r="N58" s="151"/>
      <c r="O58" s="151"/>
      <c r="P58" s="151"/>
      <c r="Q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ht="13" x14ac:dyDescent="0.3">
      <c r="A59" s="148" t="s">
        <v>116</v>
      </c>
      <c r="B59" s="151"/>
      <c r="C59" s="151"/>
      <c r="D59" s="151"/>
      <c r="E59" s="151"/>
      <c r="F59" s="151"/>
      <c r="G59" s="151"/>
      <c r="H59" s="151"/>
      <c r="I59" s="151"/>
      <c r="J59" s="151"/>
      <c r="K59" s="151"/>
      <c r="L59" s="151"/>
      <c r="M59" s="151"/>
      <c r="N59" s="151"/>
      <c r="O59" s="190">
        <f>IF($C$15&lt;0,O54,IF(O54&gt;O57,O54,O57))</f>
        <v>17.88</v>
      </c>
      <c r="P59" s="160"/>
      <c r="Q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x14ac:dyDescent="0.25">
      <c r="A60" s="147"/>
    </row>
    <row r="61" spans="1:221" ht="13" x14ac:dyDescent="0.3">
      <c r="A61" s="147"/>
      <c r="I61" s="166" t="s">
        <v>120</v>
      </c>
      <c r="J61" s="166"/>
      <c r="K61" s="166"/>
      <c r="L61" s="191"/>
      <c r="M61" s="191"/>
      <c r="N61" s="191"/>
      <c r="O61" s="191">
        <f>ROUND(IF($C$15&lt;1,0,O54/($C$15*100)*10000),2)</f>
        <v>0</v>
      </c>
      <c r="P61" s="37" t="s">
        <v>86</v>
      </c>
    </row>
    <row r="62" spans="1:221" ht="13" x14ac:dyDescent="0.3">
      <c r="A62" s="147"/>
      <c r="I62" s="242" t="s">
        <v>199</v>
      </c>
      <c r="J62" s="78"/>
      <c r="K62" s="78"/>
      <c r="L62" s="78"/>
      <c r="M62" s="78"/>
      <c r="N62" s="78"/>
      <c r="O62" s="243">
        <f>ROUND(IF($C$15&lt;1,0,(L54)/($C$15*100)*10000),2)</f>
        <v>0</v>
      </c>
      <c r="P62" s="25" t="s">
        <v>86</v>
      </c>
    </row>
    <row r="63" spans="1:221" x14ac:dyDescent="0.25">
      <c r="A63" s="147"/>
    </row>
    <row r="64" spans="1:221" x14ac:dyDescent="0.25">
      <c r="A64" s="147"/>
    </row>
    <row r="65" spans="1:1" x14ac:dyDescent="0.25">
      <c r="A65" s="147"/>
    </row>
    <row r="66" spans="1:1" x14ac:dyDescent="0.25">
      <c r="A66" s="147"/>
    </row>
    <row r="67" spans="1:1" x14ac:dyDescent="0.25">
      <c r="A67" s="147"/>
    </row>
    <row r="68" spans="1:1" x14ac:dyDescent="0.25">
      <c r="A68" s="147"/>
    </row>
    <row r="69" spans="1:1" x14ac:dyDescent="0.25">
      <c r="A69" s="147"/>
    </row>
  </sheetData>
  <sheetProtection algorithmName="SHA-512" hashValue="tSscOPRXE/C3mbHMEJ7+NLo3LgMTkd14XDdyF/k3ZBS0e1te7BUq7CoXMzft89n/R6S1wmKPqXKfK1IObkii6g==" saltValue="MTbMyB14OaqxM7B5K79YtQ==" spinCount="100000" sheet="1" objects="1" scenarios="1"/>
  <mergeCells count="8">
    <mergeCell ref="G17:J17"/>
    <mergeCell ref="L17:O17"/>
    <mergeCell ref="A1:P1"/>
    <mergeCell ref="A2:P2"/>
    <mergeCell ref="A3:P3"/>
    <mergeCell ref="A4:P4"/>
    <mergeCell ref="A7:K7"/>
    <mergeCell ref="A12:I12"/>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2706" r:id="rId5" name="Button 2">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2707" r:id="rId6" name="Button 3">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2708" r:id="rId7" name="Button 4">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72709" r:id="rId8" name="Button 5">
              <controlPr defaultSize="0" print="0" autoFill="0" autoPict="0" macro="[0]!Info">
                <anchor moveWithCells="1">
                  <from>
                    <xdr:col>14</xdr:col>
                    <xdr:colOff>400050</xdr:colOff>
                    <xdr:row>77</xdr:row>
                    <xdr:rowOff>31750</xdr:rowOff>
                  </from>
                  <to>
                    <xdr:col>14</xdr:col>
                    <xdr:colOff>755650</xdr:colOff>
                    <xdr:row>78</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B93"/>
  <sheetViews>
    <sheetView showGridLines="0" topLeftCell="A13" zoomScale="80" zoomScaleNormal="80" workbookViewId="0">
      <selection activeCell="C65" sqref="C65"/>
    </sheetView>
  </sheetViews>
  <sheetFormatPr defaultRowHeight="12.5" x14ac:dyDescent="0.25"/>
  <cols>
    <col min="1" max="1" width="39" customWidth="1"/>
    <col min="2" max="2" width="2.54296875" customWidth="1"/>
    <col min="3" max="3" width="13.54296875" customWidth="1"/>
    <col min="4" max="4" width="15.26953125" customWidth="1"/>
    <col min="5" max="5" width="9.7265625" customWidth="1"/>
    <col min="6" max="6" width="2.7265625" customWidth="1"/>
    <col min="7" max="8" width="13.26953125" customWidth="1"/>
    <col min="9" max="9" width="14.54296875" customWidth="1"/>
    <col min="10" max="10" width="13.26953125" customWidth="1"/>
    <col min="11" max="11" width="6.54296875" customWidth="1"/>
    <col min="12" max="12" width="15.1796875" customWidth="1"/>
    <col min="13" max="13" width="17.26953125" bestFit="1" customWidth="1"/>
    <col min="14" max="14" width="17.453125" customWidth="1"/>
    <col min="15" max="15" width="17.26953125" bestFit="1" customWidth="1"/>
    <col min="16" max="16" width="13" customWidth="1"/>
    <col min="17" max="17" width="12.81640625" bestFit="1" customWidth="1"/>
    <col min="18" max="18" width="10.54296875" hidden="1" customWidth="1"/>
    <col min="19" max="19" width="10.26953125" hidden="1" customWidth="1"/>
    <col min="20" max="23" width="10.81640625" hidden="1" customWidth="1"/>
    <col min="24" max="26" width="10.26953125" hidden="1" customWidth="1"/>
    <col min="27" max="27" width="10.54296875" hidden="1" customWidth="1"/>
    <col min="28" max="28" width="10.81640625" hidden="1" customWidth="1"/>
    <col min="29" max="30" width="10" hidden="1" customWidth="1"/>
    <col min="31" max="31" width="9.1796875" customWidth="1"/>
    <col min="32" max="32" width="10.26953125" customWidth="1"/>
    <col min="33" max="33" width="10.81640625" customWidth="1"/>
    <col min="34" max="34" width="10.26953125" customWidth="1"/>
  </cols>
  <sheetData>
    <row r="1" spans="1:59" ht="20" x14ac:dyDescent="0.4">
      <c r="A1" s="436" t="s">
        <v>119</v>
      </c>
      <c r="B1" s="436"/>
      <c r="C1" s="436"/>
      <c r="D1" s="436"/>
      <c r="E1" s="436"/>
      <c r="F1" s="436"/>
      <c r="G1" s="436"/>
      <c r="H1" s="436"/>
      <c r="I1" s="436"/>
      <c r="J1" s="436"/>
      <c r="K1" s="436"/>
      <c r="L1" s="436"/>
      <c r="M1" s="436"/>
      <c r="N1" s="436"/>
      <c r="O1" s="436"/>
      <c r="P1" s="436"/>
      <c r="Q1" s="197"/>
    </row>
    <row r="2" spans="1:59" ht="18" customHeight="1" x14ac:dyDescent="0.25">
      <c r="A2" s="445" t="s">
        <v>292</v>
      </c>
      <c r="B2" s="445"/>
      <c r="C2" s="445"/>
      <c r="D2" s="445"/>
      <c r="E2" s="445"/>
      <c r="F2" s="445"/>
      <c r="G2" s="445"/>
      <c r="H2" s="445"/>
      <c r="I2" s="445"/>
      <c r="J2" s="445"/>
      <c r="K2" s="445"/>
      <c r="L2" s="445"/>
      <c r="M2" s="445"/>
      <c r="N2" s="445"/>
      <c r="O2" s="445"/>
      <c r="P2" s="445"/>
    </row>
    <row r="3" spans="1:59" ht="18" x14ac:dyDescent="0.4">
      <c r="A3" s="445"/>
      <c r="B3" s="445"/>
      <c r="C3" s="445"/>
      <c r="D3" s="445"/>
      <c r="E3" s="445"/>
      <c r="F3" s="445"/>
      <c r="G3" s="445"/>
      <c r="H3" s="445"/>
      <c r="I3" s="445"/>
      <c r="J3" s="445"/>
      <c r="K3" s="445"/>
      <c r="L3" s="445"/>
      <c r="M3" s="445"/>
      <c r="N3" s="445"/>
      <c r="O3" s="445"/>
      <c r="P3" s="445"/>
      <c r="Q3" s="198"/>
    </row>
    <row r="4" spans="1:59" ht="15.5" x14ac:dyDescent="0.35">
      <c r="A4" s="437" t="str">
        <f>'Customer Info'!$B$11</f>
        <v>Breakdown of Charges Based on Entered Information</v>
      </c>
      <c r="B4" s="437"/>
      <c r="C4" s="437"/>
      <c r="D4" s="437"/>
      <c r="E4" s="437"/>
      <c r="F4" s="437"/>
      <c r="G4" s="437"/>
      <c r="H4" s="437"/>
      <c r="I4" s="437"/>
      <c r="J4" s="437"/>
      <c r="K4" s="437"/>
      <c r="L4" s="437"/>
      <c r="M4" s="437"/>
      <c r="N4" s="437"/>
      <c r="O4" s="437"/>
      <c r="P4" s="437"/>
      <c r="Q4" s="199"/>
    </row>
    <row r="5" spans="1:59" ht="15.5" x14ac:dyDescent="0.35">
      <c r="A5" s="75"/>
      <c r="B5" s="75"/>
      <c r="C5" s="75"/>
      <c r="D5" s="75"/>
      <c r="E5" s="75"/>
      <c r="F5" s="75"/>
      <c r="G5" s="75"/>
      <c r="H5" s="75"/>
      <c r="I5" s="75"/>
      <c r="J5" s="75"/>
      <c r="K5" s="75"/>
      <c r="L5" s="75"/>
      <c r="M5" s="75"/>
      <c r="N5" s="75"/>
      <c r="O5" s="75"/>
      <c r="P5" s="75"/>
      <c r="Q5" s="75"/>
    </row>
    <row r="6" spans="1:59" x14ac:dyDescent="0.25">
      <c r="A6" s="281">
        <f ca="1">TODAY()</f>
        <v>45378</v>
      </c>
      <c r="B6" s="444" t="s">
        <v>245</v>
      </c>
      <c r="C6" s="444"/>
      <c r="D6" s="444"/>
      <c r="E6" s="444"/>
      <c r="F6" s="444"/>
      <c r="G6" s="444"/>
      <c r="H6" s="444"/>
      <c r="I6" s="444"/>
      <c r="J6" s="444"/>
      <c r="K6" s="444"/>
      <c r="L6" s="444"/>
      <c r="M6" s="444"/>
      <c r="N6" s="444"/>
      <c r="O6" s="444"/>
    </row>
    <row r="7" spans="1:59" x14ac:dyDescent="0.25">
      <c r="A7" s="435" t="s">
        <v>15</v>
      </c>
      <c r="B7" s="435"/>
      <c r="C7" s="435"/>
      <c r="D7" s="435"/>
      <c r="E7" s="435"/>
      <c r="F7" s="435"/>
      <c r="G7" s="435"/>
      <c r="H7" s="435"/>
      <c r="I7" s="435"/>
      <c r="J7" s="435"/>
      <c r="K7" s="435"/>
    </row>
    <row r="8" spans="1:59" x14ac:dyDescent="0.25">
      <c r="C8" s="18"/>
      <c r="D8" s="18"/>
      <c r="E8" s="18"/>
      <c r="F8" s="18"/>
      <c r="G8" s="18"/>
      <c r="H8" s="18"/>
      <c r="I8" s="18"/>
      <c r="J8" s="18"/>
      <c r="K8" s="18"/>
    </row>
    <row r="9" spans="1:59" ht="15.5" x14ac:dyDescent="0.35">
      <c r="A9" s="23" t="s">
        <v>2</v>
      </c>
      <c r="B9" s="24"/>
      <c r="C9" s="25">
        <f>'Customer Info'!B7</f>
        <v>0</v>
      </c>
      <c r="I9" s="26"/>
    </row>
    <row r="10" spans="1:59" ht="15.5" x14ac:dyDescent="0.35">
      <c r="A10" s="27" t="s">
        <v>26</v>
      </c>
      <c r="B10" s="24"/>
      <c r="C10" s="25">
        <f>'Customer Info'!B8</f>
        <v>0</v>
      </c>
    </row>
    <row r="11" spans="1:59" ht="13" x14ac:dyDescent="0.3">
      <c r="A11" s="23" t="s">
        <v>99</v>
      </c>
      <c r="B11" s="200">
        <f>'Customer Info'!B9</f>
        <v>4</v>
      </c>
      <c r="C11" s="194" t="str">
        <f>LOOKUP($B$11,$S$11:$AD$11,S12:AD12)</f>
        <v>April</v>
      </c>
      <c r="D11" s="133">
        <f>'Customer Info'!C9</f>
        <v>2024</v>
      </c>
      <c r="S11">
        <v>1</v>
      </c>
      <c r="T11">
        <v>2</v>
      </c>
      <c r="U11">
        <v>3</v>
      </c>
      <c r="V11">
        <v>4</v>
      </c>
      <c r="W11">
        <v>5</v>
      </c>
      <c r="X11">
        <v>6</v>
      </c>
      <c r="Y11">
        <v>7</v>
      </c>
      <c r="Z11">
        <v>8</v>
      </c>
      <c r="AA11">
        <v>9</v>
      </c>
      <c r="AB11">
        <v>10</v>
      </c>
      <c r="AC11">
        <v>11</v>
      </c>
      <c r="AD11">
        <v>12</v>
      </c>
    </row>
    <row r="12" spans="1:59" ht="13" x14ac:dyDescent="0.3">
      <c r="A12" s="142"/>
      <c r="B12" s="143"/>
      <c r="C12" s="144"/>
      <c r="D12" s="144"/>
      <c r="E12" s="144"/>
      <c r="F12" s="144"/>
      <c r="G12" s="144"/>
      <c r="H12" s="144"/>
      <c r="I12" s="144"/>
      <c r="J12" s="144"/>
      <c r="K12" s="144"/>
      <c r="L12" s="144"/>
      <c r="M12" s="144"/>
      <c r="N12" s="144"/>
      <c r="O12" s="144"/>
      <c r="P12" s="144"/>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59" ht="15.5" x14ac:dyDescent="0.35">
      <c r="A13" s="148" t="s">
        <v>27</v>
      </c>
      <c r="B13" s="149"/>
      <c r="C13" s="150"/>
      <c r="D13" s="78"/>
      <c r="E13" s="78"/>
      <c r="F13" s="78"/>
      <c r="G13" s="78"/>
      <c r="H13" s="78"/>
      <c r="I13" s="78"/>
      <c r="J13" s="151"/>
      <c r="K13" s="151"/>
      <c r="L13" s="151"/>
      <c r="M13" s="151"/>
      <c r="N13" s="151"/>
      <c r="O13" s="151"/>
      <c r="P13" s="151"/>
      <c r="R13" s="78"/>
      <c r="S13" s="246"/>
      <c r="T13" s="246"/>
      <c r="U13" s="246"/>
      <c r="V13" s="246"/>
      <c r="W13" s="246"/>
      <c r="X13" s="246"/>
      <c r="Y13" s="246"/>
      <c r="Z13" s="246"/>
      <c r="AA13" s="246"/>
      <c r="AB13" s="246"/>
      <c r="AC13" s="246"/>
      <c r="AD13" s="246"/>
      <c r="AE13" s="78"/>
    </row>
    <row r="14" spans="1:59" x14ac:dyDescent="0.25">
      <c r="A14" s="78"/>
      <c r="B14" s="78"/>
      <c r="C14" s="78"/>
      <c r="D14" s="78"/>
      <c r="E14" s="78"/>
      <c r="F14" s="78"/>
      <c r="G14" s="282" t="s">
        <v>15</v>
      </c>
      <c r="H14" s="282"/>
      <c r="I14" s="152" t="s">
        <v>15</v>
      </c>
      <c r="J14" s="151"/>
      <c r="K14" s="151"/>
      <c r="L14" s="151"/>
      <c r="M14" s="151"/>
      <c r="N14" s="151"/>
      <c r="O14" s="151"/>
      <c r="P14" s="151"/>
      <c r="Q14" s="78"/>
      <c r="R14" s="78"/>
      <c r="S14" s="246"/>
      <c r="T14" s="246"/>
      <c r="U14" s="246"/>
      <c r="V14" s="246"/>
      <c r="W14" s="246"/>
      <c r="X14" s="246"/>
      <c r="Y14" s="246"/>
      <c r="Z14" s="246"/>
      <c r="AA14" s="246"/>
      <c r="AB14" s="246"/>
      <c r="AC14" s="246"/>
      <c r="AD14" s="246"/>
      <c r="AE14" s="78"/>
      <c r="AG14" s="145"/>
      <c r="AH14" s="145"/>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1:59" x14ac:dyDescent="0.25">
      <c r="A15" s="78"/>
      <c r="B15" s="78"/>
      <c r="C15" s="78"/>
      <c r="D15" s="78"/>
      <c r="E15" s="78"/>
      <c r="F15" s="78"/>
      <c r="G15" s="78"/>
      <c r="H15" s="78"/>
      <c r="I15" s="78"/>
      <c r="J15" s="151"/>
      <c r="K15" s="151"/>
      <c r="L15" s="151"/>
      <c r="M15" s="151"/>
      <c r="N15" s="151"/>
      <c r="O15" s="151"/>
      <c r="P15" s="151"/>
      <c r="Q15" s="78"/>
      <c r="R15" s="210"/>
      <c r="S15" s="78"/>
      <c r="T15" s="78"/>
      <c r="U15" s="78"/>
      <c r="V15" s="78"/>
      <c r="W15" s="78"/>
      <c r="X15" s="78"/>
      <c r="Y15" s="78"/>
      <c r="Z15" s="78"/>
      <c r="AA15" s="78"/>
      <c r="AB15" s="78"/>
      <c r="AC15" s="78"/>
      <c r="AD15" s="78"/>
      <c r="AE15" s="78"/>
      <c r="AG15" s="193"/>
      <c r="AH15" s="193"/>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row>
    <row r="16" spans="1:59" x14ac:dyDescent="0.25">
      <c r="A16" s="153"/>
      <c r="B16" s="78"/>
      <c r="C16" s="154"/>
      <c r="D16" s="153"/>
      <c r="E16" s="78"/>
      <c r="F16" s="78"/>
      <c r="G16" s="78"/>
      <c r="H16" s="78"/>
      <c r="I16" s="78"/>
      <c r="J16" s="151"/>
      <c r="K16" s="151"/>
      <c r="L16" s="151"/>
      <c r="M16" s="151"/>
      <c r="N16" s="151"/>
      <c r="O16" s="151"/>
      <c r="P16" s="151"/>
      <c r="Q16" s="78"/>
      <c r="R16" s="78"/>
      <c r="S16" s="78"/>
      <c r="T16" s="78"/>
      <c r="U16" s="78"/>
      <c r="V16" s="78"/>
      <c r="W16" s="78"/>
      <c r="X16" s="78"/>
      <c r="Y16" s="78"/>
      <c r="Z16" s="78"/>
      <c r="AA16" s="78"/>
      <c r="AB16" s="78"/>
      <c r="AC16" s="78"/>
      <c r="AD16" s="78"/>
      <c r="AE16" s="78"/>
      <c r="AF16" s="78"/>
      <c r="AG16" s="193"/>
      <c r="AH16" s="193"/>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row>
    <row r="17" spans="1:221" x14ac:dyDescent="0.25">
      <c r="A17" s="153" t="s">
        <v>51</v>
      </c>
      <c r="B17" s="78"/>
      <c r="D17" s="154">
        <f>IF('Customer Info'!B21+'Customer Info'!B22-'Customer Info'!B23&lt;0,0,'Customer Info'!B21+'Customer Info'!B22-'Customer Info'!B23)</f>
        <v>0</v>
      </c>
      <c r="E17" s="153" t="s">
        <v>41</v>
      </c>
      <c r="F17" s="78"/>
      <c r="G17" s="78"/>
      <c r="H17" s="78"/>
      <c r="I17" s="78"/>
      <c r="J17" s="151"/>
      <c r="K17" s="151"/>
      <c r="L17" s="151"/>
      <c r="M17" s="151"/>
      <c r="N17" s="151"/>
      <c r="O17" s="151"/>
      <c r="P17" s="151"/>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row>
    <row r="18" spans="1:221" x14ac:dyDescent="0.25">
      <c r="A18" s="153" t="s">
        <v>294</v>
      </c>
      <c r="B18" s="78"/>
      <c r="C18" s="154"/>
      <c r="D18" s="154">
        <f>'Customer Info'!$B$18</f>
        <v>0</v>
      </c>
      <c r="E18" s="210" t="s">
        <v>45</v>
      </c>
      <c r="F18" s="78"/>
      <c r="G18" s="78"/>
      <c r="H18" s="78"/>
      <c r="I18" s="78"/>
      <c r="J18" s="151"/>
      <c r="K18" s="151"/>
      <c r="L18" s="151"/>
      <c r="M18" s="151"/>
      <c r="N18" s="151"/>
      <c r="O18" s="151"/>
      <c r="P18" s="151"/>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1:221" x14ac:dyDescent="0.25">
      <c r="A19" s="153"/>
      <c r="B19" s="78"/>
      <c r="C19" s="154"/>
      <c r="D19" s="153"/>
      <c r="E19" s="78"/>
      <c r="F19" s="78"/>
      <c r="G19" s="78"/>
      <c r="H19" s="78"/>
      <c r="I19" s="78"/>
      <c r="J19" s="151"/>
      <c r="K19" s="151"/>
      <c r="L19" s="151"/>
      <c r="M19" s="151"/>
      <c r="N19" s="151"/>
      <c r="O19" s="151"/>
      <c r="P19" s="151"/>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row>
    <row r="20" spans="1:221" x14ac:dyDescent="0.25">
      <c r="A20" s="153"/>
      <c r="B20" s="78"/>
      <c r="C20" s="154"/>
      <c r="D20" s="153"/>
      <c r="E20" s="78"/>
      <c r="F20" s="78"/>
      <c r="G20" s="78"/>
      <c r="H20" s="78"/>
      <c r="I20" s="78"/>
      <c r="J20" s="151"/>
      <c r="K20" s="151"/>
      <c r="L20" s="151"/>
      <c r="M20" s="151"/>
      <c r="N20" s="151"/>
      <c r="O20" s="151"/>
      <c r="P20" s="151"/>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row>
    <row r="21" spans="1:221" x14ac:dyDescent="0.25">
      <c r="A21" s="153"/>
      <c r="B21" s="78"/>
      <c r="C21" s="154"/>
      <c r="D21" s="153"/>
      <c r="E21" s="78"/>
      <c r="F21" s="78"/>
      <c r="G21" s="78"/>
      <c r="H21" s="78"/>
      <c r="I21" s="78"/>
      <c r="J21" s="151"/>
      <c r="K21" s="151"/>
      <c r="L21" s="151"/>
      <c r="M21" s="151"/>
      <c r="N21" s="151"/>
      <c r="O21" s="151"/>
      <c r="P21" s="151"/>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row>
    <row r="22" spans="1:221" ht="13" x14ac:dyDescent="0.3">
      <c r="A22" s="155"/>
      <c r="B22" s="155"/>
      <c r="C22" s="156"/>
      <c r="D22" s="155"/>
      <c r="E22" s="155"/>
      <c r="F22" s="157"/>
      <c r="G22" s="142"/>
      <c r="H22" s="155"/>
      <c r="I22" s="158"/>
      <c r="J22" s="144"/>
      <c r="K22" s="151"/>
      <c r="L22" s="151"/>
      <c r="M22" s="151"/>
      <c r="N22" s="151"/>
      <c r="O22" s="151"/>
      <c r="P22" s="151"/>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row>
    <row r="23" spans="1:221" ht="13" x14ac:dyDescent="0.3">
      <c r="A23" s="148" t="s">
        <v>31</v>
      </c>
      <c r="B23" s="78"/>
      <c r="C23" s="78"/>
      <c r="D23" s="78"/>
      <c r="E23" s="78"/>
      <c r="F23" s="78"/>
      <c r="G23" s="441" t="s">
        <v>67</v>
      </c>
      <c r="H23" s="442"/>
      <c r="I23" s="442"/>
      <c r="J23" s="443"/>
      <c r="K23" s="159"/>
      <c r="L23" s="438" t="s">
        <v>68</v>
      </c>
      <c r="M23" s="439"/>
      <c r="N23" s="439"/>
      <c r="O23" s="440"/>
      <c r="P23" s="160"/>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row>
    <row r="24" spans="1:221" ht="13" x14ac:dyDescent="0.3">
      <c r="A24" s="78"/>
      <c r="B24" s="78"/>
      <c r="C24" s="78"/>
      <c r="D24" s="78"/>
      <c r="E24" s="78"/>
      <c r="F24" s="78"/>
      <c r="G24" s="115" t="s">
        <v>64</v>
      </c>
      <c r="H24" s="115" t="s">
        <v>65</v>
      </c>
      <c r="I24" s="115" t="s">
        <v>66</v>
      </c>
      <c r="J24" s="115" t="s">
        <v>34</v>
      </c>
      <c r="K24" s="78"/>
      <c r="L24" s="146" t="s">
        <v>64</v>
      </c>
      <c r="M24" s="146" t="s">
        <v>65</v>
      </c>
      <c r="N24" s="146" t="s">
        <v>66</v>
      </c>
      <c r="O24" s="146" t="s">
        <v>34</v>
      </c>
      <c r="P24" s="161" t="s">
        <v>56</v>
      </c>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row>
    <row r="25" spans="1:221" x14ac:dyDescent="0.25">
      <c r="A25" s="78" t="s">
        <v>32</v>
      </c>
      <c r="B25" s="78"/>
      <c r="C25" s="78"/>
      <c r="D25" s="78"/>
      <c r="E25" s="78"/>
      <c r="F25" s="78"/>
      <c r="G25" s="162"/>
      <c r="H25" s="163"/>
      <c r="I25" s="163">
        <v>10</v>
      </c>
      <c r="J25" s="239">
        <f>SUM(G25:I25)</f>
        <v>10</v>
      </c>
      <c r="K25" s="78"/>
      <c r="L25" s="105"/>
      <c r="M25" s="105"/>
      <c r="N25" s="105">
        <f>I25</f>
        <v>10</v>
      </c>
      <c r="O25" s="250">
        <f>SUM(L25:N25)</f>
        <v>10</v>
      </c>
      <c r="P25" s="245">
        <v>44531</v>
      </c>
      <c r="Q25" s="78"/>
      <c r="R25" s="175"/>
      <c r="S25" s="108"/>
      <c r="T25" s="109"/>
      <c r="U25" s="78"/>
      <c r="V25" s="110"/>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row>
    <row r="26" spans="1:221" x14ac:dyDescent="0.25">
      <c r="A26" s="78" t="s">
        <v>186</v>
      </c>
      <c r="B26" s="78"/>
      <c r="C26" s="78"/>
      <c r="D26" s="1">
        <f>MAX($D$17,0)</f>
        <v>0</v>
      </c>
      <c r="E26" s="101" t="s">
        <v>41</v>
      </c>
      <c r="F26" s="106" t="s">
        <v>8</v>
      </c>
      <c r="G26" s="247"/>
      <c r="H26" s="163"/>
      <c r="I26" s="165">
        <v>1.3156299999999999E-2</v>
      </c>
      <c r="J26" s="103">
        <f>SUM(G26:I26)</f>
        <v>1.3156299999999999E-2</v>
      </c>
      <c r="K26" s="108" t="s">
        <v>91</v>
      </c>
      <c r="L26" s="105"/>
      <c r="M26" s="105"/>
      <c r="N26" s="105">
        <f>ROUND($D26*I26,2)</f>
        <v>0</v>
      </c>
      <c r="O26" s="250">
        <f>SUM(L26:N26)</f>
        <v>0</v>
      </c>
      <c r="P26" s="245">
        <v>44531</v>
      </c>
      <c r="Q26" s="78"/>
      <c r="R26" s="107"/>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row>
    <row r="27" spans="1:221" x14ac:dyDescent="0.25">
      <c r="A27" s="210" t="s">
        <v>293</v>
      </c>
      <c r="B27" s="78"/>
      <c r="C27" s="78"/>
      <c r="D27" s="1">
        <f>D18</f>
        <v>0</v>
      </c>
      <c r="E27" s="101" t="s">
        <v>45</v>
      </c>
      <c r="F27" s="283" t="s">
        <v>8</v>
      </c>
      <c r="G27" s="247"/>
      <c r="H27" s="163"/>
      <c r="I27" s="165">
        <v>2.14</v>
      </c>
      <c r="J27" s="103">
        <f>SUM(G27:I27)</f>
        <v>2.14</v>
      </c>
      <c r="K27" s="108" t="s">
        <v>44</v>
      </c>
      <c r="L27" s="105"/>
      <c r="M27" s="105"/>
      <c r="N27" s="105">
        <f>ROUND($D27*I27,2)</f>
        <v>0</v>
      </c>
      <c r="O27" s="250">
        <f>SUM(L27:N27)</f>
        <v>0</v>
      </c>
      <c r="P27" s="245">
        <v>44531</v>
      </c>
      <c r="Q27" s="78"/>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row>
    <row r="28" spans="1:221" ht="13" x14ac:dyDescent="0.3">
      <c r="A28" s="166" t="s">
        <v>50</v>
      </c>
      <c r="B28" s="166"/>
      <c r="C28" s="166"/>
      <c r="D28" s="167"/>
      <c r="E28" s="167"/>
      <c r="F28" s="166"/>
      <c r="G28" s="167"/>
      <c r="H28" s="167"/>
      <c r="I28" s="167"/>
      <c r="J28" s="167"/>
      <c r="K28" s="168"/>
      <c r="L28" s="169"/>
      <c r="M28" s="169"/>
      <c r="N28" s="169">
        <f>SUM(N25:N27)</f>
        <v>10</v>
      </c>
      <c r="O28" s="169">
        <f>SUM(O25:O27)</f>
        <v>10</v>
      </c>
      <c r="P28" s="160"/>
      <c r="Q28" s="78"/>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row>
    <row r="29" spans="1:221" ht="13" x14ac:dyDescent="0.3">
      <c r="A29" s="170"/>
      <c r="B29" s="170"/>
      <c r="C29" s="170"/>
      <c r="D29" s="171"/>
      <c r="E29" s="171"/>
      <c r="F29" s="170"/>
      <c r="G29" s="171"/>
      <c r="H29" s="171"/>
      <c r="I29" s="171"/>
      <c r="J29" s="171"/>
      <c r="K29" s="172"/>
      <c r="L29" s="171"/>
      <c r="M29" s="171"/>
      <c r="N29" s="171"/>
      <c r="O29" s="171"/>
      <c r="P29" s="173"/>
      <c r="Q29" s="78"/>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row>
    <row r="30" spans="1:221" ht="13" x14ac:dyDescent="0.3">
      <c r="A30" s="148" t="s">
        <v>69</v>
      </c>
      <c r="B30" s="166"/>
      <c r="C30" s="166"/>
      <c r="D30" s="167"/>
      <c r="E30" s="167"/>
      <c r="F30" s="166"/>
      <c r="G30" s="167"/>
      <c r="H30" s="167"/>
      <c r="I30" s="167"/>
      <c r="J30" s="167"/>
      <c r="K30" s="167"/>
      <c r="L30" s="167"/>
      <c r="M30" s="167"/>
      <c r="N30" s="167"/>
      <c r="O30" s="167"/>
      <c r="P30" s="160"/>
      <c r="Q30" s="78"/>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151"/>
      <c r="B31" s="151"/>
      <c r="C31" s="151"/>
      <c r="D31" s="151"/>
      <c r="E31" s="151"/>
      <c r="F31" s="151"/>
      <c r="G31" s="151"/>
      <c r="H31" s="151"/>
      <c r="I31" s="151"/>
      <c r="J31" s="151"/>
      <c r="K31" s="151"/>
      <c r="L31" s="151"/>
      <c r="M31" s="151"/>
      <c r="N31" s="151"/>
      <c r="O31" s="151"/>
      <c r="P31" s="174"/>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99" t="s">
        <v>78</v>
      </c>
      <c r="B32" s="176"/>
      <c r="C32" s="176"/>
      <c r="D32" s="100">
        <f>IF($D$17&lt;0,0,IF($D$17&gt;833000,833000,$D$17))</f>
        <v>0</v>
      </c>
      <c r="E32" s="101" t="s">
        <v>41</v>
      </c>
      <c r="F32" s="102" t="s">
        <v>8</v>
      </c>
      <c r="G32" s="103"/>
      <c r="H32" s="103"/>
      <c r="I32" s="103">
        <f>'Rider Rates'!$B$4</f>
        <v>5.9216E-3</v>
      </c>
      <c r="J32" s="103">
        <f t="shared" ref="J32:J38" si="0">SUM(G32:I32)</f>
        <v>5.9216E-3</v>
      </c>
      <c r="K32" s="104" t="s">
        <v>42</v>
      </c>
      <c r="L32" s="105"/>
      <c r="M32" s="105"/>
      <c r="N32" s="105">
        <f t="shared" ref="N32:N37" si="1">ROUND(D32*I32,2)</f>
        <v>0</v>
      </c>
      <c r="O32" s="250">
        <f t="shared" ref="O32:O53" si="2">SUM(L32:N32)</f>
        <v>0</v>
      </c>
      <c r="P32" s="245">
        <f>'Rider Rates'!$D$4</f>
        <v>45293</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x14ac:dyDescent="0.25">
      <c r="A33" s="99" t="s">
        <v>79</v>
      </c>
      <c r="B33" s="78"/>
      <c r="C33" s="78"/>
      <c r="D33" s="123">
        <f>IF($D$17&gt;833000,$D$17-833000,0)</f>
        <v>0</v>
      </c>
      <c r="E33" s="101" t="s">
        <v>41</v>
      </c>
      <c r="F33" s="102" t="s">
        <v>8</v>
      </c>
      <c r="G33" s="103"/>
      <c r="H33" s="103"/>
      <c r="I33" s="103">
        <f>'Rider Rates'!$B$5</f>
        <v>1.7560000000000001E-4</v>
      </c>
      <c r="J33" s="103">
        <f t="shared" si="0"/>
        <v>1.7560000000000001E-4</v>
      </c>
      <c r="K33" s="104" t="s">
        <v>42</v>
      </c>
      <c r="L33" s="105"/>
      <c r="M33" s="105"/>
      <c r="N33" s="105">
        <f t="shared" si="1"/>
        <v>0</v>
      </c>
      <c r="O33" s="105">
        <f t="shared" si="2"/>
        <v>0</v>
      </c>
      <c r="P33" s="245">
        <f>'Rider Rates'!$D$4</f>
        <v>45293</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99" t="s">
        <v>96</v>
      </c>
      <c r="B34" s="78"/>
      <c r="C34" s="78"/>
      <c r="D34" s="100">
        <f>IF($D$17&lt;0,0,IF($D$17&gt;2000,2000,$D$17))</f>
        <v>0</v>
      </c>
      <c r="E34" s="101" t="s">
        <v>41</v>
      </c>
      <c r="F34" s="102" t="s">
        <v>8</v>
      </c>
      <c r="G34" s="103"/>
      <c r="H34" s="103"/>
      <c r="I34" s="177">
        <f>'Rider Rates'!$B$8</f>
        <v>4.6499999999999996E-3</v>
      </c>
      <c r="J34" s="177">
        <f t="shared" si="0"/>
        <v>4.6499999999999996E-3</v>
      </c>
      <c r="K34" s="104" t="s">
        <v>42</v>
      </c>
      <c r="L34" s="105"/>
      <c r="M34" s="105"/>
      <c r="N34" s="105">
        <f t="shared" si="1"/>
        <v>0</v>
      </c>
      <c r="O34" s="105">
        <f t="shared" si="2"/>
        <v>0</v>
      </c>
      <c r="P34" s="245">
        <f>'Rider Rates'!$D$7</f>
        <v>44531</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99" t="s">
        <v>97</v>
      </c>
      <c r="B35" s="78"/>
      <c r="C35" s="78"/>
      <c r="D35" s="100">
        <f>IF($D$17&lt;=2000,0,IF($D$17=0,0,IF($D$17-2000&gt;13000,13000,$D$17-2000)))</f>
        <v>0</v>
      </c>
      <c r="E35" s="101" t="s">
        <v>41</v>
      </c>
      <c r="F35" s="102" t="s">
        <v>8</v>
      </c>
      <c r="G35" s="103"/>
      <c r="H35" s="103"/>
      <c r="I35" s="177">
        <f>'Rider Rates'!$B$9</f>
        <v>4.1900000000000001E-3</v>
      </c>
      <c r="J35" s="177">
        <f t="shared" si="0"/>
        <v>4.1900000000000001E-3</v>
      </c>
      <c r="K35" s="104" t="s">
        <v>42</v>
      </c>
      <c r="L35" s="105"/>
      <c r="M35" s="105"/>
      <c r="N35" s="105">
        <f t="shared" si="1"/>
        <v>0</v>
      </c>
      <c r="O35" s="105">
        <f t="shared" si="2"/>
        <v>0</v>
      </c>
      <c r="P35" s="245">
        <f>'Rider Rates'!$D$7</f>
        <v>44531</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99" t="s">
        <v>98</v>
      </c>
      <c r="B36" s="78"/>
      <c r="C36" s="78"/>
      <c r="D36" s="100">
        <f>IF($D$17=0,0,IF($D$17-15000&gt;=0,$D$17-15000,0))</f>
        <v>0</v>
      </c>
      <c r="E36" s="101" t="s">
        <v>41</v>
      </c>
      <c r="F36" s="102" t="s">
        <v>8</v>
      </c>
      <c r="G36" s="103"/>
      <c r="H36" s="103"/>
      <c r="I36" s="177">
        <f>'Rider Rates'!$B$10</f>
        <v>3.63E-3</v>
      </c>
      <c r="J36" s="177">
        <f t="shared" si="0"/>
        <v>3.63E-3</v>
      </c>
      <c r="K36" s="104" t="s">
        <v>42</v>
      </c>
      <c r="L36" s="105"/>
      <c r="M36" s="105"/>
      <c r="N36" s="105">
        <f t="shared" si="1"/>
        <v>0</v>
      </c>
      <c r="O36" s="105">
        <f t="shared" si="2"/>
        <v>0</v>
      </c>
      <c r="P36" s="245">
        <f>'Rider Rates'!$D$7</f>
        <v>44531</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10" t="s">
        <v>160</v>
      </c>
      <c r="B37" s="78"/>
      <c r="C37" s="78"/>
      <c r="D37" s="100">
        <f>IF($D$17&lt;0,0,$D$17)</f>
        <v>0</v>
      </c>
      <c r="E37" s="101" t="s">
        <v>41</v>
      </c>
      <c r="F37" s="102" t="s">
        <v>8</v>
      </c>
      <c r="G37" s="103"/>
      <c r="H37" s="103"/>
      <c r="I37" s="103">
        <f>'Rider Rates'!B15</f>
        <v>0</v>
      </c>
      <c r="J37" s="103">
        <f t="shared" si="0"/>
        <v>0</v>
      </c>
      <c r="K37" s="104" t="s">
        <v>42</v>
      </c>
      <c r="L37" s="105"/>
      <c r="M37" s="105"/>
      <c r="N37" s="105">
        <f t="shared" si="1"/>
        <v>0</v>
      </c>
      <c r="O37" s="105">
        <f t="shared" ref="O37:O43" si="3">SUM(L37:N37)</f>
        <v>0</v>
      </c>
      <c r="P37" s="245">
        <f>'Rider Rates'!$D$15</f>
        <v>45167</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ht="13" x14ac:dyDescent="0.3">
      <c r="A38" s="241" t="s">
        <v>247</v>
      </c>
      <c r="B38" s="78"/>
      <c r="C38" s="78"/>
      <c r="D38" s="195">
        <f>$N$28</f>
        <v>10</v>
      </c>
      <c r="E38" s="101" t="s">
        <v>121</v>
      </c>
      <c r="F38" s="102" t="s">
        <v>8</v>
      </c>
      <c r="G38" s="103"/>
      <c r="H38" s="103"/>
      <c r="I38" s="178">
        <f>'Rider Rates'!$B$18</f>
        <v>0</v>
      </c>
      <c r="J38" s="178">
        <f t="shared" si="0"/>
        <v>0</v>
      </c>
      <c r="K38" s="104"/>
      <c r="L38" s="105"/>
      <c r="M38" s="105"/>
      <c r="N38" s="105">
        <f>ROUND($D$38*'Rider Rates'!$B$18,2)+ROUND($D$38*'Rider Rates'!$E$18,2)</f>
        <v>0</v>
      </c>
      <c r="O38" s="105">
        <f t="shared" si="3"/>
        <v>0</v>
      </c>
      <c r="P38" s="245">
        <f>MAX('Rider Rates'!$D$18,'Rider Rates'!$F$18)</f>
        <v>44531</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210" t="s">
        <v>195</v>
      </c>
      <c r="B39" s="78"/>
      <c r="C39" s="78"/>
      <c r="D39" s="100">
        <f>'Customer Info'!$B$21+'Customer Info'!$B$22-'Customer Info'!$B$23</f>
        <v>0</v>
      </c>
      <c r="E39" s="101" t="s">
        <v>41</v>
      </c>
      <c r="F39" s="102" t="s">
        <v>8</v>
      </c>
      <c r="G39" s="103">
        <f>'Rider Rates'!$B$21</f>
        <v>0.10589</v>
      </c>
      <c r="H39" s="103"/>
      <c r="I39" s="103"/>
      <c r="J39" s="237">
        <f>SUM(G39:H39)</f>
        <v>0.10589</v>
      </c>
      <c r="K39" s="104" t="s">
        <v>42</v>
      </c>
      <c r="L39" s="105">
        <f>ROUND(D39*G39,2)</f>
        <v>0</v>
      </c>
      <c r="M39" s="105"/>
      <c r="N39" s="105"/>
      <c r="O39" s="105">
        <f t="shared" si="3"/>
        <v>0</v>
      </c>
      <c r="P39" s="245">
        <f>'Rider Rates'!$D$21</f>
        <v>45078</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210" t="s">
        <v>162</v>
      </c>
      <c r="B40" s="78"/>
      <c r="C40" s="78"/>
      <c r="D40" s="100">
        <f>'Customer Info'!$B$21+'Customer Info'!$B$22-'Customer Info'!$B$23</f>
        <v>0</v>
      </c>
      <c r="E40" s="101" t="s">
        <v>41</v>
      </c>
      <c r="F40" s="102" t="s">
        <v>8</v>
      </c>
      <c r="G40" s="103">
        <f>'Rider Rates'!$B$28</f>
        <v>3.8800000000000002E-3</v>
      </c>
      <c r="H40" s="103"/>
      <c r="I40" s="103"/>
      <c r="J40" s="237">
        <f>SUM(G40:H40)</f>
        <v>3.8800000000000002E-3</v>
      </c>
      <c r="K40" s="104" t="s">
        <v>42</v>
      </c>
      <c r="L40" s="239">
        <f>ROUND($D$40*$G$40,2)</f>
        <v>0</v>
      </c>
      <c r="M40" s="105"/>
      <c r="N40" s="105"/>
      <c r="O40" s="105">
        <f>SUM(L40:N40)</f>
        <v>0</v>
      </c>
      <c r="P40" s="245">
        <f>'Rider Rates'!$D$28</f>
        <v>45078</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x14ac:dyDescent="0.25">
      <c r="A41" s="210" t="s">
        <v>202</v>
      </c>
      <c r="B41" s="78"/>
      <c r="C41" s="78"/>
      <c r="D41" s="100">
        <f>'Customer Info'!$B$21+'Customer Info'!$B$22-'Customer Info'!$B$23</f>
        <v>0</v>
      </c>
      <c r="E41" s="101" t="s">
        <v>41</v>
      </c>
      <c r="F41" s="102" t="s">
        <v>8</v>
      </c>
      <c r="G41" s="103">
        <f>'Rider Rates'!$B$46</f>
        <v>-4.8640000000000001E-4</v>
      </c>
      <c r="H41" s="103"/>
      <c r="I41" s="103"/>
      <c r="J41" s="237">
        <f>SUM(G41:H41)</f>
        <v>-4.8640000000000001E-4</v>
      </c>
      <c r="K41" s="104" t="s">
        <v>42</v>
      </c>
      <c r="L41" s="105">
        <f>ROUND(D41*G41,2)</f>
        <v>0</v>
      </c>
      <c r="M41" s="105"/>
      <c r="N41" s="105"/>
      <c r="O41" s="105">
        <f t="shared" si="3"/>
        <v>0</v>
      </c>
      <c r="P41" s="245">
        <f>'Rider Rates'!$D$46</f>
        <v>45383</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x14ac:dyDescent="0.25">
      <c r="A42" s="241" t="s">
        <v>220</v>
      </c>
      <c r="B42" s="78"/>
      <c r="C42" s="78"/>
      <c r="D42" s="100"/>
      <c r="E42" s="101" t="s">
        <v>114</v>
      </c>
      <c r="F42" s="102"/>
      <c r="G42" s="103"/>
      <c r="H42" s="103"/>
      <c r="I42" s="103">
        <f>'Rider Rates'!D49</f>
        <v>1.47</v>
      </c>
      <c r="J42" s="237">
        <f t="shared" ref="J42:J47" si="4">SUM(G42:I42)</f>
        <v>1.47</v>
      </c>
      <c r="K42" s="104"/>
      <c r="L42" s="105"/>
      <c r="M42" s="105"/>
      <c r="N42" s="105">
        <f>J42</f>
        <v>1.47</v>
      </c>
      <c r="O42" s="105">
        <f>SUM(L42:N42)</f>
        <v>1.47</v>
      </c>
      <c r="P42" s="245">
        <f>'Rider Rates'!E49</f>
        <v>45292</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x14ac:dyDescent="0.25">
      <c r="A43" s="210" t="s">
        <v>198</v>
      </c>
      <c r="B43" s="78"/>
      <c r="C43" s="78"/>
      <c r="D43" s="100">
        <f>IF($D$17&lt;0,0,$D$17)</f>
        <v>0</v>
      </c>
      <c r="E43" s="113" t="s">
        <v>41</v>
      </c>
      <c r="F43" s="102" t="s">
        <v>8</v>
      </c>
      <c r="G43" s="103"/>
      <c r="H43" s="103">
        <f>'Rider Rates'!$B$56</f>
        <v>4.3837099999999997E-2</v>
      </c>
      <c r="I43" s="103"/>
      <c r="J43" s="103">
        <f t="shared" si="4"/>
        <v>4.3837099999999997E-2</v>
      </c>
      <c r="K43" s="104" t="s">
        <v>42</v>
      </c>
      <c r="L43" s="105"/>
      <c r="M43" s="105">
        <f>ROUND(D43*H43,2)</f>
        <v>0</v>
      </c>
      <c r="N43" s="205"/>
      <c r="O43" s="105">
        <f t="shared" si="3"/>
        <v>0</v>
      </c>
      <c r="P43" s="245">
        <f>'Rider Rates'!$D$56</f>
        <v>45383</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5">
      <c r="A44" s="99" t="s">
        <v>95</v>
      </c>
      <c r="B44" s="78"/>
      <c r="C44" s="78"/>
      <c r="D44" s="100">
        <f>IF('Customer Info'!C34=TRUE,0,IF($D$17&lt;0,0,$D$17))</f>
        <v>0</v>
      </c>
      <c r="E44" s="101" t="s">
        <v>41</v>
      </c>
      <c r="F44" s="102" t="s">
        <v>8</v>
      </c>
      <c r="G44" s="103"/>
      <c r="H44" s="103"/>
      <c r="I44" s="103">
        <f>'Rider Rates'!$B$68+'Rider Rates'!$C$68</f>
        <v>0</v>
      </c>
      <c r="J44" s="103">
        <f t="shared" si="4"/>
        <v>0</v>
      </c>
      <c r="K44" s="104" t="s">
        <v>42</v>
      </c>
      <c r="L44" s="105"/>
      <c r="M44" s="105"/>
      <c r="N44" s="105">
        <f>ROUND($D$44*'Rider Rates'!$B$68,2)+ROUND($D$44*'Rider Rates'!$C$68,2)</f>
        <v>0</v>
      </c>
      <c r="O44" s="250">
        <f t="shared" si="2"/>
        <v>0</v>
      </c>
      <c r="P44" s="245">
        <f>'Rider Rates'!$D$68</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99" t="s">
        <v>80</v>
      </c>
      <c r="B45" s="78"/>
      <c r="C45" s="78"/>
      <c r="D45" s="195">
        <f>$N$28</f>
        <v>10</v>
      </c>
      <c r="E45" s="101" t="s">
        <v>121</v>
      </c>
      <c r="F45" s="102" t="s">
        <v>8</v>
      </c>
      <c r="G45" s="111"/>
      <c r="H45" s="112"/>
      <c r="I45" s="120">
        <f>'Rider Rates'!$B$84</f>
        <v>2.9347000000000002E-2</v>
      </c>
      <c r="J45" s="120">
        <f t="shared" si="4"/>
        <v>2.9347000000000002E-2</v>
      </c>
      <c r="K45" s="104"/>
      <c r="L45" s="105"/>
      <c r="M45" s="105"/>
      <c r="N45" s="105">
        <f>ROUND(D45*I45,2)</f>
        <v>0.28999999999999998</v>
      </c>
      <c r="O45" s="105">
        <f t="shared" si="2"/>
        <v>0.28999999999999998</v>
      </c>
      <c r="P45" s="245">
        <f>'Rider Rates'!$D$84</f>
        <v>45383</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99" t="s">
        <v>81</v>
      </c>
      <c r="B46" s="78"/>
      <c r="C46" s="78"/>
      <c r="D46" s="195">
        <f>$N$28</f>
        <v>10</v>
      </c>
      <c r="E46" s="101" t="s">
        <v>121</v>
      </c>
      <c r="F46" s="102" t="s">
        <v>8</v>
      </c>
      <c r="G46" s="114"/>
      <c r="H46" s="115"/>
      <c r="I46" s="120">
        <f>'Rider Rates'!$B$86</f>
        <v>6.6985699999999995E-2</v>
      </c>
      <c r="J46" s="120">
        <f t="shared" si="4"/>
        <v>6.6985699999999995E-2</v>
      </c>
      <c r="K46" s="104"/>
      <c r="L46" s="105"/>
      <c r="M46" s="105"/>
      <c r="N46" s="105">
        <f>ROUND(D46*I46,2)</f>
        <v>0.67</v>
      </c>
      <c r="O46" s="105">
        <f t="shared" si="2"/>
        <v>0.67</v>
      </c>
      <c r="P46" s="245">
        <f>'Rider Rates'!$D$86</f>
        <v>45167</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216</v>
      </c>
      <c r="B47" s="78"/>
      <c r="C47" s="78"/>
      <c r="D47" s="195"/>
      <c r="E47" s="113" t="s">
        <v>114</v>
      </c>
      <c r="F47" s="106"/>
      <c r="G47" s="114"/>
      <c r="H47" s="115"/>
      <c r="I47" s="196">
        <f>'Rider Rates'!$B$89</f>
        <v>1.95</v>
      </c>
      <c r="J47" s="196">
        <f t="shared" si="4"/>
        <v>1.95</v>
      </c>
      <c r="K47" s="104"/>
      <c r="L47" s="105"/>
      <c r="M47" s="105"/>
      <c r="N47" s="105">
        <f>I47</f>
        <v>1.95</v>
      </c>
      <c r="O47" s="250">
        <f>SUM(L47:N47)</f>
        <v>1.95</v>
      </c>
      <c r="P47" s="245">
        <f>'Rider Rates'!$D$89</f>
        <v>45259</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241" t="s">
        <v>249</v>
      </c>
      <c r="B48" s="78"/>
      <c r="C48" s="78"/>
      <c r="D48" s="100">
        <f>IF($D$17&lt;0,0,$D$17)</f>
        <v>0</v>
      </c>
      <c r="E48" s="101" t="s">
        <v>41</v>
      </c>
      <c r="F48" s="102" t="s">
        <v>8</v>
      </c>
      <c r="G48" s="103"/>
      <c r="H48" s="103"/>
      <c r="I48" s="103"/>
      <c r="J48" s="103">
        <f>'Rider Rates'!$B$93</f>
        <v>0</v>
      </c>
      <c r="K48" s="104" t="s">
        <v>42</v>
      </c>
      <c r="L48" s="105"/>
      <c r="M48" s="105"/>
      <c r="N48" s="105"/>
      <c r="O48" s="105">
        <f>ROUND($D48*('Rider Rates'!B$93),2)</f>
        <v>0</v>
      </c>
      <c r="P48" s="245">
        <f>'Rider Rates'!$D$93</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21" ht="13" x14ac:dyDescent="0.3">
      <c r="A49" s="99" t="s">
        <v>157</v>
      </c>
      <c r="B49" s="78"/>
      <c r="C49" s="78"/>
      <c r="D49" s="195">
        <f>$N$28</f>
        <v>10</v>
      </c>
      <c r="E49" s="101" t="s">
        <v>121</v>
      </c>
      <c r="F49" s="102" t="s">
        <v>8</v>
      </c>
      <c r="G49" s="114"/>
      <c r="H49" s="115"/>
      <c r="I49" s="120">
        <f>'Rider Rates'!$B$104</f>
        <v>0.21398439999999999</v>
      </c>
      <c r="J49" s="238">
        <f>SUM(G49:I49)</f>
        <v>0.21398439999999999</v>
      </c>
      <c r="K49" s="104"/>
      <c r="L49" s="105"/>
      <c r="M49" s="105"/>
      <c r="N49" s="105">
        <f>ROUND(D49*I49,2)</f>
        <v>2.14</v>
      </c>
      <c r="O49" s="105">
        <f t="shared" si="2"/>
        <v>2.14</v>
      </c>
      <c r="P49" s="245">
        <f>'Rider Rates'!$D$104</f>
        <v>45351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21" ht="13" x14ac:dyDescent="0.3">
      <c r="A50" s="210" t="s">
        <v>219</v>
      </c>
      <c r="B50" s="78"/>
      <c r="C50" s="78"/>
      <c r="D50" s="195"/>
      <c r="E50" s="113" t="s">
        <v>114</v>
      </c>
      <c r="F50" s="106"/>
      <c r="G50" s="114"/>
      <c r="H50" s="115"/>
      <c r="I50" s="196">
        <f>'Rider Rates'!$B$107</f>
        <v>0</v>
      </c>
      <c r="J50" s="196">
        <f>SUM(G50:I50)</f>
        <v>0</v>
      </c>
      <c r="K50" s="104"/>
      <c r="L50" s="105"/>
      <c r="M50" s="105"/>
      <c r="N50" s="105">
        <f>I50</f>
        <v>0</v>
      </c>
      <c r="O50" s="105">
        <f>SUM(L50:N50)</f>
        <v>0</v>
      </c>
      <c r="P50" s="245">
        <f>'Rider Rates'!$D$107</f>
        <v>44894</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21" ht="13" x14ac:dyDescent="0.3">
      <c r="A51" s="210" t="s">
        <v>227</v>
      </c>
      <c r="B51" s="78"/>
      <c r="C51" s="78"/>
      <c r="D51" s="195"/>
      <c r="E51" s="113" t="s">
        <v>114</v>
      </c>
      <c r="F51" s="106"/>
      <c r="G51" s="114"/>
      <c r="H51" s="115"/>
      <c r="I51" s="260">
        <f>'Rider Rates'!B120</f>
        <v>1.26</v>
      </c>
      <c r="J51" s="261">
        <f>SUM(G51:I51)</f>
        <v>1.26</v>
      </c>
      <c r="K51" s="104"/>
      <c r="L51" s="105"/>
      <c r="M51" s="105"/>
      <c r="N51" s="262">
        <f>I51</f>
        <v>1.26</v>
      </c>
      <c r="O51" s="105">
        <f>SUM(L51:N51)</f>
        <v>1.26</v>
      </c>
      <c r="P51" s="245">
        <f>'Rider Rates'!D120</f>
        <v>45226</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21" x14ac:dyDescent="0.25">
      <c r="A52" s="99" t="s">
        <v>158</v>
      </c>
      <c r="B52" s="78"/>
      <c r="C52" s="78"/>
      <c r="D52" s="100">
        <f>'Customer Info'!$B$21+'Customer Info'!$B$22-'Customer Info'!$B$23</f>
        <v>0</v>
      </c>
      <c r="E52" s="101" t="s">
        <v>41</v>
      </c>
      <c r="F52" s="102" t="s">
        <v>8</v>
      </c>
      <c r="G52" s="103">
        <f>'Rider Rates'!$B$111</f>
        <v>3.8972999999999998E-3</v>
      </c>
      <c r="H52" s="103"/>
      <c r="I52" s="103"/>
      <c r="J52" s="237">
        <f>SUM(G52:H52)</f>
        <v>3.8972999999999998E-3</v>
      </c>
      <c r="K52" s="104" t="s">
        <v>42</v>
      </c>
      <c r="L52" s="105">
        <f>ROUND(D52*G52,2)</f>
        <v>0</v>
      </c>
      <c r="M52" s="105"/>
      <c r="N52" s="105"/>
      <c r="O52" s="105">
        <f t="shared" si="2"/>
        <v>0</v>
      </c>
      <c r="P52" s="245">
        <f>'Rider Rates'!$D$111</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21" x14ac:dyDescent="0.25">
      <c r="A53" s="210" t="s">
        <v>218</v>
      </c>
      <c r="B53" s="78"/>
      <c r="C53" s="78"/>
      <c r="D53" s="100">
        <f>IF($D$17&lt;1,0,$D$17)</f>
        <v>0</v>
      </c>
      <c r="E53" s="101" t="s">
        <v>41</v>
      </c>
      <c r="F53" s="249" t="s">
        <v>8</v>
      </c>
      <c r="G53" s="103"/>
      <c r="H53" s="103"/>
      <c r="I53" s="103">
        <f>'Rider Rates'!$B$116</f>
        <v>-2.3000000000000001E-4</v>
      </c>
      <c r="J53" s="237">
        <f>SUM(G53:I53)</f>
        <v>-2.3000000000000001E-4</v>
      </c>
      <c r="K53" s="104" t="s">
        <v>42</v>
      </c>
      <c r="L53" s="105"/>
      <c r="M53" s="105"/>
      <c r="N53" s="105">
        <f>D53*J53</f>
        <v>0</v>
      </c>
      <c r="O53" s="105">
        <f t="shared" si="2"/>
        <v>0</v>
      </c>
      <c r="P53" s="245">
        <f>'Rider Rates'!D116</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21" x14ac:dyDescent="0.25">
      <c r="A54" s="241" t="s">
        <v>240</v>
      </c>
      <c r="B54" s="78"/>
      <c r="C54" s="78"/>
      <c r="D54" s="100"/>
      <c r="E54" s="101" t="s">
        <v>114</v>
      </c>
      <c r="F54" s="102" t="s">
        <v>8</v>
      </c>
      <c r="G54" s="265"/>
      <c r="H54" s="265"/>
      <c r="I54" s="265">
        <f>'Rider Rates'!$B$124</f>
        <v>0.1</v>
      </c>
      <c r="J54" s="265">
        <f>SUM(G54:I54)</f>
        <v>0.1</v>
      </c>
      <c r="K54" s="104"/>
      <c r="L54" s="209"/>
      <c r="M54" s="209"/>
      <c r="N54" s="209">
        <f>J54</f>
        <v>0.1</v>
      </c>
      <c r="O54" s="209">
        <f>SUM(L54:N54)</f>
        <v>0.1</v>
      </c>
      <c r="P54" s="266">
        <f>'Rider Rates'!E124</f>
        <v>44927</v>
      </c>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21" x14ac:dyDescent="0.25">
      <c r="A55" s="241" t="s">
        <v>252</v>
      </c>
      <c r="B55" s="78"/>
      <c r="C55" s="78"/>
      <c r="D55" s="100">
        <f>D17</f>
        <v>0</v>
      </c>
      <c r="E55" s="101" t="s">
        <v>41</v>
      </c>
      <c r="F55" s="249" t="s">
        <v>8</v>
      </c>
      <c r="G55" s="103"/>
      <c r="H55" s="103"/>
      <c r="I55" s="103">
        <f>'Rider Rates'!B129</f>
        <v>0</v>
      </c>
      <c r="J55" s="237">
        <f>SUM(G55:I55)</f>
        <v>0</v>
      </c>
      <c r="K55" s="104" t="s">
        <v>42</v>
      </c>
      <c r="L55" s="105"/>
      <c r="M55" s="105"/>
      <c r="N55" s="105">
        <f>D55*J55</f>
        <v>0</v>
      </c>
      <c r="O55" s="105">
        <f>SUM(L55:N55)</f>
        <v>0</v>
      </c>
      <c r="P55" s="245">
        <f>'Rider Rates'!D129</f>
        <v>44531</v>
      </c>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21" x14ac:dyDescent="0.25">
      <c r="A56" s="241" t="s">
        <v>251</v>
      </c>
      <c r="B56" s="78"/>
      <c r="C56" s="78"/>
      <c r="D56" s="100"/>
      <c r="E56" s="101" t="s">
        <v>114</v>
      </c>
      <c r="F56" s="102" t="s">
        <v>8</v>
      </c>
      <c r="G56" s="265"/>
      <c r="H56" s="265"/>
      <c r="I56" s="265">
        <f>'Rider Rates'!$B$136</f>
        <v>0</v>
      </c>
      <c r="J56" s="265">
        <f>SUM(G56:I56)</f>
        <v>0</v>
      </c>
      <c r="K56" s="104"/>
      <c r="L56" s="209"/>
      <c r="M56" s="209"/>
      <c r="N56" s="209">
        <f>J56</f>
        <v>0</v>
      </c>
      <c r="O56" s="209">
        <f>SUM(L56:N56)</f>
        <v>0</v>
      </c>
      <c r="P56" s="266">
        <f>'Rider Rates'!D136</f>
        <v>44531</v>
      </c>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21" x14ac:dyDescent="0.25">
      <c r="A57" s="241" t="s">
        <v>253</v>
      </c>
      <c r="B57" s="78"/>
      <c r="C57" s="78"/>
      <c r="D57" s="100"/>
      <c r="E57" s="101"/>
      <c r="F57" s="102"/>
      <c r="G57" s="265"/>
      <c r="H57" s="265"/>
      <c r="I57" s="265"/>
      <c r="J57" s="265"/>
      <c r="K57" s="104"/>
      <c r="L57" s="209"/>
      <c r="M57" s="209"/>
      <c r="N57" s="209"/>
      <c r="O57" s="209"/>
      <c r="P57" s="266"/>
      <c r="Q57" s="106"/>
      <c r="R57" s="107"/>
      <c r="S57" s="108"/>
      <c r="T57" s="109"/>
      <c r="U57" s="78"/>
      <c r="V57" s="110"/>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21" ht="13" x14ac:dyDescent="0.3">
      <c r="A58" s="179" t="s">
        <v>70</v>
      </c>
      <c r="B58" s="148"/>
      <c r="C58" s="148"/>
      <c r="D58" s="180"/>
      <c r="E58" s="181"/>
      <c r="F58" s="182"/>
      <c r="G58" s="182"/>
      <c r="H58" s="182"/>
      <c r="I58" s="182"/>
      <c r="J58" s="182"/>
      <c r="K58" s="183"/>
      <c r="L58" s="169">
        <f>SUM(L32:L57)</f>
        <v>0</v>
      </c>
      <c r="M58" s="169">
        <f>SUM(M32:M57)</f>
        <v>0</v>
      </c>
      <c r="N58" s="169">
        <f>SUM(N32:N57)</f>
        <v>7.879999999999999</v>
      </c>
      <c r="O58" s="169">
        <f>SUM(O32:O57)</f>
        <v>7.879999999999999</v>
      </c>
      <c r="P58" s="184"/>
      <c r="Q58" s="106"/>
      <c r="R58" s="166"/>
      <c r="S58" s="166"/>
      <c r="T58" s="189"/>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21" x14ac:dyDescent="0.25">
      <c r="A59" s="78"/>
      <c r="B59" s="78"/>
      <c r="C59" s="78"/>
      <c r="D59" s="100"/>
      <c r="E59" s="113"/>
      <c r="F59" s="106"/>
      <c r="G59" s="106"/>
      <c r="H59" s="106"/>
      <c r="I59" s="106"/>
      <c r="J59" s="107"/>
      <c r="K59" s="104"/>
      <c r="L59" s="106"/>
      <c r="M59" s="106"/>
      <c r="N59" s="106"/>
      <c r="O59" s="106"/>
      <c r="P59" s="164"/>
      <c r="Q59" s="106"/>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21" ht="13" x14ac:dyDescent="0.3">
      <c r="A60" s="185" t="s">
        <v>93</v>
      </c>
      <c r="B60" s="170"/>
      <c r="C60" s="170"/>
      <c r="D60" s="170"/>
      <c r="E60" s="170"/>
      <c r="F60" s="170"/>
      <c r="G60" s="170"/>
      <c r="H60" s="170"/>
      <c r="I60" s="170"/>
      <c r="J60" s="170"/>
      <c r="K60" s="170"/>
      <c r="L60" s="186">
        <f>L28+L58</f>
        <v>0</v>
      </c>
      <c r="M60" s="186">
        <f>M28+M58</f>
        <v>0</v>
      </c>
      <c r="N60" s="186">
        <f>N28+N58</f>
        <v>17.88</v>
      </c>
      <c r="O60" s="187">
        <f>O28+O58</f>
        <v>17.88</v>
      </c>
      <c r="P60" s="187"/>
      <c r="Q60" s="106"/>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21" ht="13" x14ac:dyDescent="0.3">
      <c r="A61" s="78"/>
      <c r="B61" s="78"/>
      <c r="C61" s="78"/>
      <c r="D61" s="78"/>
      <c r="E61" s="78"/>
      <c r="F61" s="78"/>
      <c r="G61" s="78"/>
      <c r="H61" s="78"/>
      <c r="I61" s="78"/>
      <c r="J61" s="78"/>
      <c r="K61" s="78"/>
      <c r="L61" s="78"/>
      <c r="M61" s="78"/>
      <c r="N61" s="151"/>
      <c r="O61" s="151"/>
      <c r="P61" s="151"/>
      <c r="Q61" s="166"/>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21" ht="13" x14ac:dyDescent="0.3">
      <c r="A62" s="78"/>
      <c r="B62" s="78"/>
      <c r="C62" s="78"/>
      <c r="D62" s="78"/>
      <c r="E62" s="78"/>
      <c r="F62" s="78"/>
      <c r="G62" s="78"/>
      <c r="H62" s="78"/>
      <c r="I62" s="78"/>
      <c r="J62" s="78"/>
      <c r="K62" s="78"/>
      <c r="L62" s="78"/>
      <c r="M62" s="78"/>
      <c r="N62" s="151"/>
      <c r="O62" s="151"/>
      <c r="P62" s="151"/>
      <c r="Q62" s="166"/>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21" ht="13" x14ac:dyDescent="0.3">
      <c r="A63" s="166" t="s">
        <v>92</v>
      </c>
      <c r="B63" s="78"/>
      <c r="C63" s="78"/>
      <c r="D63" s="78"/>
      <c r="E63" s="78"/>
      <c r="F63" s="78"/>
      <c r="G63" s="78"/>
      <c r="H63" s="78"/>
      <c r="I63" s="78"/>
      <c r="J63" s="78"/>
      <c r="K63" s="78"/>
      <c r="L63" s="78"/>
      <c r="M63" s="78"/>
      <c r="N63" s="78"/>
      <c r="O63" s="109">
        <f>IF(D17&lt;0,MIN(O25,O60),O25)</f>
        <v>10</v>
      </c>
      <c r="P63" s="151"/>
      <c r="Q63" s="166"/>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row>
    <row r="64" spans="1:221" ht="13" x14ac:dyDescent="0.3">
      <c r="A64" s="166" t="s">
        <v>15</v>
      </c>
      <c r="B64" s="166"/>
      <c r="C64" s="166"/>
      <c r="D64" s="166"/>
      <c r="E64" s="166"/>
      <c r="F64" s="166"/>
      <c r="G64" s="166"/>
      <c r="H64" s="166"/>
      <c r="I64" s="78"/>
      <c r="J64" s="78"/>
      <c r="K64" s="78"/>
      <c r="L64" s="78"/>
      <c r="M64" s="78"/>
      <c r="N64" s="151"/>
      <c r="O64" s="151"/>
      <c r="P64" s="151"/>
      <c r="Q64" s="78"/>
      <c r="R64" s="107"/>
      <c r="S64" s="108"/>
      <c r="T64" s="109"/>
      <c r="U64" s="78"/>
      <c r="V64" s="110"/>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c r="EO64" s="78"/>
      <c r="EP64" s="78"/>
      <c r="EQ64" s="78"/>
      <c r="ER64" s="78"/>
      <c r="ES64" s="78"/>
      <c r="ET64" s="78"/>
      <c r="EU64" s="78"/>
      <c r="EV64" s="78"/>
      <c r="EW64" s="78"/>
      <c r="EX64" s="78"/>
      <c r="EY64" s="78"/>
      <c r="EZ64" s="78"/>
      <c r="FA64" s="78"/>
      <c r="FB64" s="78"/>
      <c r="FC64" s="78"/>
      <c r="FD64" s="78"/>
      <c r="FE64" s="78"/>
      <c r="FF64" s="78"/>
      <c r="FG64" s="78"/>
      <c r="FH64" s="78"/>
      <c r="FI64" s="78"/>
      <c r="FJ64" s="78"/>
      <c r="FK64" s="78"/>
      <c r="FL64" s="78"/>
      <c r="FM64" s="78"/>
      <c r="FN64" s="78"/>
      <c r="FO64" s="78"/>
      <c r="FP64" s="78"/>
      <c r="FQ64" s="78"/>
      <c r="FR64" s="78"/>
      <c r="FS64" s="78"/>
      <c r="FT64" s="78"/>
      <c r="FU64" s="78"/>
      <c r="FV64" s="78"/>
      <c r="FW64" s="78"/>
      <c r="FX64" s="78"/>
      <c r="FY64" s="78"/>
      <c r="FZ64" s="78"/>
      <c r="GA64" s="78"/>
      <c r="GB64" s="78"/>
      <c r="GC64" s="78"/>
      <c r="GD64" s="78"/>
      <c r="GE64" s="78"/>
      <c r="GF64" s="78"/>
      <c r="GG64" s="78"/>
      <c r="GH64" s="78"/>
      <c r="GI64" s="78"/>
      <c r="GJ64" s="78"/>
      <c r="GK64" s="78"/>
      <c r="GL64" s="78"/>
      <c r="GM64" s="78"/>
      <c r="GN64" s="78"/>
      <c r="GO64" s="78"/>
      <c r="GP64" s="78"/>
      <c r="GQ64" s="78"/>
      <c r="GR64" s="78"/>
      <c r="GS64" s="78"/>
      <c r="GT64" s="78"/>
      <c r="GU64" s="78"/>
      <c r="GV64" s="78"/>
      <c r="GW64" s="78"/>
      <c r="GX64" s="78"/>
      <c r="GY64" s="78"/>
      <c r="GZ64" s="78"/>
      <c r="HA64" s="78"/>
      <c r="HB64" s="78"/>
      <c r="HC64" s="78"/>
      <c r="HD64" s="78"/>
      <c r="HE64" s="78"/>
      <c r="HF64" s="78"/>
      <c r="HG64" s="78"/>
      <c r="HH64" s="78"/>
      <c r="HI64" s="78"/>
      <c r="HJ64" s="78"/>
      <c r="HK64" s="78"/>
      <c r="HL64" s="78"/>
      <c r="HM64" s="78"/>
    </row>
    <row r="65" spans="1:236" ht="13" x14ac:dyDescent="0.3">
      <c r="A65" s="148" t="s">
        <v>116</v>
      </c>
      <c r="B65" s="151"/>
      <c r="C65" s="151"/>
      <c r="D65" s="151"/>
      <c r="E65" s="151"/>
      <c r="F65" s="151"/>
      <c r="G65" s="151"/>
      <c r="H65" s="151"/>
      <c r="I65" s="151"/>
      <c r="J65" s="151"/>
      <c r="K65" s="151"/>
      <c r="L65" s="151"/>
      <c r="M65" s="151"/>
      <c r="N65" s="151"/>
      <c r="O65" s="190">
        <f>IF($D$17&lt;0,O60,IF(O60&gt;O63,O60,O63))</f>
        <v>17.88</v>
      </c>
      <c r="P65" s="160"/>
      <c r="Q65" s="78"/>
      <c r="R65" s="107"/>
      <c r="S65" s="108"/>
      <c r="T65" s="109"/>
      <c r="U65" s="78"/>
      <c r="V65" s="110"/>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8"/>
      <c r="GD65" s="78"/>
      <c r="GE65" s="78"/>
      <c r="GF65" s="78"/>
      <c r="GG65" s="78"/>
      <c r="GH65" s="78"/>
      <c r="GI65" s="78"/>
      <c r="GJ65" s="78"/>
      <c r="GK65" s="78"/>
      <c r="GL65" s="78"/>
      <c r="GM65" s="78"/>
      <c r="GN65" s="78"/>
      <c r="GO65" s="78"/>
      <c r="GP65" s="78"/>
      <c r="GQ65" s="78"/>
      <c r="GR65" s="78"/>
      <c r="GS65" s="78"/>
      <c r="GT65" s="78"/>
      <c r="GU65" s="78"/>
      <c r="GV65" s="78"/>
      <c r="GW65" s="78"/>
      <c r="GX65" s="78"/>
      <c r="GY65" s="78"/>
      <c r="GZ65" s="78"/>
      <c r="HA65" s="78"/>
      <c r="HB65" s="78"/>
      <c r="HC65" s="78"/>
      <c r="HD65" s="78"/>
      <c r="HE65" s="78"/>
      <c r="HF65" s="78"/>
      <c r="HG65" s="78"/>
      <c r="HH65" s="78"/>
      <c r="HI65" s="78"/>
      <c r="HJ65" s="78"/>
      <c r="HK65" s="78"/>
      <c r="HL65" s="78"/>
      <c r="HM65" s="78"/>
    </row>
    <row r="66" spans="1:236" ht="13" x14ac:dyDescent="0.3">
      <c r="A66" s="148"/>
      <c r="B66" s="151"/>
      <c r="C66" s="151"/>
      <c r="D66" s="151"/>
      <c r="E66" s="151"/>
      <c r="F66" s="151"/>
      <c r="G66" s="151"/>
      <c r="H66" s="151"/>
      <c r="I66" s="151"/>
      <c r="J66" s="151"/>
      <c r="K66" s="151"/>
      <c r="L66" s="151"/>
      <c r="M66" s="151"/>
      <c r="N66" s="151"/>
      <c r="O66" s="138"/>
      <c r="P66" s="160"/>
      <c r="Q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row>
    <row r="67" spans="1:236" ht="13" x14ac:dyDescent="0.3">
      <c r="A67" s="148"/>
      <c r="B67" s="166"/>
      <c r="C67" s="166"/>
      <c r="D67" s="166"/>
      <c r="E67" s="166"/>
      <c r="F67" s="166"/>
      <c r="G67" s="166"/>
      <c r="H67" s="166"/>
      <c r="I67" s="166" t="s">
        <v>120</v>
      </c>
      <c r="J67" s="166"/>
      <c r="K67" s="166"/>
      <c r="L67" s="191"/>
      <c r="M67" s="191"/>
      <c r="N67" s="191"/>
      <c r="O67" s="191">
        <f>ROUND(IF($D$17&lt;1,0,O60/($D$17*100)*10000),2)</f>
        <v>0</v>
      </c>
      <c r="P67" s="37" t="s">
        <v>86</v>
      </c>
      <c r="Q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row>
    <row r="68" spans="1:236" ht="13" x14ac:dyDescent="0.3">
      <c r="A68" s="37"/>
      <c r="B68" s="78"/>
      <c r="C68" s="78"/>
      <c r="D68" s="78"/>
      <c r="E68" s="78"/>
      <c r="F68" s="78"/>
      <c r="G68" s="78"/>
      <c r="H68" s="192"/>
      <c r="I68" s="242" t="s">
        <v>199</v>
      </c>
      <c r="J68" s="78"/>
      <c r="K68" s="78"/>
      <c r="L68" s="78"/>
      <c r="M68" s="78"/>
      <c r="N68" s="78"/>
      <c r="O68" s="243">
        <f>ROUND(IF($D$17&lt;1,0,(L60)/($D$17*100)*10000),2)</f>
        <v>0</v>
      </c>
      <c r="P68" s="25" t="s">
        <v>86</v>
      </c>
      <c r="Q68" s="78"/>
      <c r="AE68" s="78"/>
      <c r="AF68" s="78"/>
      <c r="AG68" s="78"/>
      <c r="AH68" s="78"/>
      <c r="AI68" s="78"/>
      <c r="AJ68" s="78"/>
      <c r="AK68" s="78"/>
      <c r="AL68" s="78"/>
      <c r="AM68" s="78"/>
      <c r="AN68" s="78"/>
      <c r="AO68" s="78"/>
      <c r="AP68" s="78"/>
      <c r="AQ68" s="78"/>
      <c r="AR68" s="78"/>
      <c r="AS68" s="78"/>
      <c r="AT68" s="78"/>
      <c r="HE68" s="78"/>
      <c r="HF68" s="78"/>
      <c r="HG68" s="78"/>
      <c r="HH68" s="78"/>
      <c r="HI68" s="78"/>
      <c r="HJ68" s="78"/>
      <c r="HK68" s="78"/>
      <c r="HL68" s="78"/>
      <c r="HM68" s="78"/>
      <c r="HN68" s="78"/>
    </row>
    <row r="69" spans="1:236" ht="13" x14ac:dyDescent="0.3">
      <c r="A69" s="99"/>
      <c r="B69" s="78"/>
      <c r="C69" s="78"/>
      <c r="D69" s="100"/>
      <c r="E69" s="101"/>
      <c r="F69" s="106"/>
      <c r="G69" s="133"/>
      <c r="H69" s="56"/>
      <c r="I69" s="133"/>
      <c r="J69" s="25"/>
      <c r="K69" s="25"/>
      <c r="L69" s="134"/>
      <c r="M69" s="134"/>
      <c r="N69" s="134"/>
      <c r="O69" s="135"/>
      <c r="Q69" s="80"/>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row>
    <row r="70" spans="1:236" x14ac:dyDescent="0.25">
      <c r="A70" s="99"/>
      <c r="B70" s="78"/>
      <c r="C70" s="78"/>
      <c r="D70" s="100"/>
      <c r="E70" s="113"/>
      <c r="F70" s="106"/>
      <c r="Q70" s="80"/>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row>
    <row r="71" spans="1:236" x14ac:dyDescent="0.25">
      <c r="A71" s="78"/>
      <c r="D71" s="1"/>
      <c r="E71" s="35"/>
      <c r="F71" s="106"/>
      <c r="Q71" s="80"/>
    </row>
    <row r="72" spans="1:236" ht="13" x14ac:dyDescent="0.3">
      <c r="A72" s="96"/>
      <c r="D72" s="1"/>
      <c r="E72" s="35"/>
      <c r="F72" s="4"/>
      <c r="Q72" s="36"/>
    </row>
    <row r="73" spans="1:236" ht="13" x14ac:dyDescent="0.3">
      <c r="A73" s="96"/>
      <c r="D73" s="1"/>
      <c r="E73" s="35"/>
      <c r="F73" s="4"/>
      <c r="Q73" s="36"/>
    </row>
    <row r="74" spans="1:236" ht="13" x14ac:dyDescent="0.3">
      <c r="A74" s="41"/>
      <c r="B74" s="77"/>
      <c r="C74" s="77"/>
      <c r="D74" s="77"/>
      <c r="E74" s="77"/>
      <c r="F74" s="77"/>
    </row>
    <row r="75" spans="1:236" ht="13" x14ac:dyDescent="0.3">
      <c r="B75" s="37"/>
      <c r="C75" s="37"/>
      <c r="D75" s="37"/>
      <c r="E75" s="37"/>
      <c r="F75" s="37"/>
      <c r="P75" s="37"/>
      <c r="Q75" s="37"/>
    </row>
    <row r="76" spans="1:236" ht="13" x14ac:dyDescent="0.3">
      <c r="B76" s="37"/>
      <c r="C76" s="37"/>
      <c r="D76" s="37"/>
      <c r="E76" s="37"/>
      <c r="F76" s="37"/>
      <c r="P76" s="25"/>
      <c r="Q76" s="25"/>
    </row>
    <row r="79" spans="1:236" x14ac:dyDescent="0.25">
      <c r="A79" s="434"/>
    </row>
    <row r="80" spans="1:236" x14ac:dyDescent="0.25">
      <c r="A80" s="434"/>
    </row>
    <row r="81" spans="1:1" x14ac:dyDescent="0.25">
      <c r="A81" s="434"/>
    </row>
    <row r="82" spans="1:1" x14ac:dyDescent="0.25">
      <c r="A82" s="434"/>
    </row>
    <row r="83" spans="1:1" x14ac:dyDescent="0.25">
      <c r="A83" s="434"/>
    </row>
    <row r="84" spans="1:1" x14ac:dyDescent="0.25">
      <c r="A84" s="434"/>
    </row>
    <row r="85" spans="1:1" x14ac:dyDescent="0.25">
      <c r="A85" s="434"/>
    </row>
    <row r="86" spans="1:1" x14ac:dyDescent="0.25">
      <c r="A86" s="434"/>
    </row>
    <row r="87" spans="1:1" x14ac:dyDescent="0.25">
      <c r="A87" s="434"/>
    </row>
    <row r="88" spans="1:1" x14ac:dyDescent="0.25">
      <c r="A88" s="434"/>
    </row>
    <row r="89" spans="1:1" x14ac:dyDescent="0.25">
      <c r="A89" s="434"/>
    </row>
    <row r="90" spans="1:1" x14ac:dyDescent="0.25">
      <c r="A90" s="434"/>
    </row>
    <row r="91" spans="1:1" x14ac:dyDescent="0.25">
      <c r="A91" s="434"/>
    </row>
    <row r="92" spans="1:1" x14ac:dyDescent="0.25">
      <c r="A92" s="434"/>
    </row>
    <row r="93" spans="1:1" x14ac:dyDescent="0.25">
      <c r="A93" s="434"/>
    </row>
  </sheetData>
  <sheetProtection algorithmName="SHA-512" hashValue="Ixt/7jDeJj7S8R1GNhAs0li1z4i5iEnNOjS5fBrZ+TE7uu+UTBJlAaXSwtNxJNKpyqdtnsZWXDpw3YXsh5vcxg==" saltValue="4Xh0OjVPJIaPDh5oqyzIxw==" spinCount="100000" sheet="1" objects="1" scenarios="1"/>
  <mergeCells count="8">
    <mergeCell ref="A79:A93"/>
    <mergeCell ref="A1:P1"/>
    <mergeCell ref="A2:P3"/>
    <mergeCell ref="A4:P4"/>
    <mergeCell ref="B6:O6"/>
    <mergeCell ref="A7:K7"/>
    <mergeCell ref="G23:J23"/>
    <mergeCell ref="L23:O23"/>
  </mergeCells>
  <printOptions horizontalCentered="1"/>
  <pageMargins left="0" right="0" top="0.5" bottom="0.5" header="0.5" footer="0.5"/>
  <pageSetup scale="60"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Button 1">
              <controlPr defaultSize="0" print="0" autoFill="0" autoPict="0" macro="[0]!Info">
                <anchor moveWithCells="1">
                  <from>
                    <xdr:col>0</xdr:col>
                    <xdr:colOff>50800</xdr:colOff>
                    <xdr:row>0</xdr:row>
                    <xdr:rowOff>50800</xdr:rowOff>
                  </from>
                  <to>
                    <xdr:col>0</xdr:col>
                    <xdr:colOff>393700</xdr:colOff>
                    <xdr:row>1</xdr:row>
                    <xdr:rowOff>50800</xdr:rowOff>
                  </to>
                </anchor>
              </controlPr>
            </control>
          </mc:Choice>
        </mc:AlternateContent>
        <mc:AlternateContent xmlns:mc="http://schemas.openxmlformats.org/markup-compatibility/2006">
          <mc:Choice Requires="x14">
            <control shapeId="105474" r:id="rId5" name="Button 2">
              <controlPr defaultSize="0" print="0" autoFill="0" autoPict="0" macro="[0]!Info">
                <anchor moveWithCells="1">
                  <from>
                    <xdr:col>16</xdr:col>
                    <xdr:colOff>393700</xdr:colOff>
                    <xdr:row>86</xdr:row>
                    <xdr:rowOff>38100</xdr:rowOff>
                  </from>
                  <to>
                    <xdr:col>30</xdr:col>
                    <xdr:colOff>165100</xdr:colOff>
                    <xdr:row>87</xdr:row>
                    <xdr:rowOff>88900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IB65"/>
  <sheetViews>
    <sheetView showGridLines="0" topLeftCell="A3" zoomScale="80" zoomScaleNormal="80" workbookViewId="0">
      <selection activeCell="P23" sqref="P23"/>
    </sheetView>
  </sheetViews>
  <sheetFormatPr defaultRowHeight="12.5" x14ac:dyDescent="0.25"/>
  <cols>
    <col min="1" max="1" width="31" customWidth="1"/>
    <col min="2" max="2" width="2.1796875" customWidth="1"/>
    <col min="3" max="3" width="21.1796875" customWidth="1"/>
    <col min="4" max="4" width="15.26953125" customWidth="1"/>
    <col min="5" max="5" width="10.1796875" customWidth="1"/>
    <col min="6" max="6" width="5.54296875" customWidth="1"/>
    <col min="7" max="8" width="13.26953125" customWidth="1"/>
    <col min="9" max="9" width="14.54296875" customWidth="1"/>
    <col min="10" max="10" width="13.26953125" customWidth="1"/>
    <col min="11" max="11" width="7" customWidth="1"/>
    <col min="12" max="12" width="15.1796875" customWidth="1"/>
    <col min="13" max="13" width="17.26953125" bestFit="1" customWidth="1"/>
    <col min="14" max="14" width="16.7265625" customWidth="1"/>
    <col min="15" max="15" width="19.1796875" bestFit="1" customWidth="1"/>
    <col min="16" max="16" width="12.81640625" bestFit="1" customWidth="1"/>
    <col min="18" max="18" width="9.1796875" hidden="1" customWidth="1"/>
    <col min="19" max="26" width="10.26953125" hidden="1" customWidth="1"/>
    <col min="27" max="27" width="10.54296875" hidden="1" customWidth="1"/>
    <col min="28" max="30" width="10.26953125" hidden="1" customWidth="1"/>
  </cols>
  <sheetData>
    <row r="1" spans="1:30" ht="20" x14ac:dyDescent="0.4">
      <c r="A1" s="451" t="s">
        <v>119</v>
      </c>
      <c r="B1" s="451"/>
      <c r="C1" s="451"/>
      <c r="D1" s="451"/>
      <c r="E1" s="451"/>
      <c r="F1" s="451"/>
      <c r="G1" s="451"/>
      <c r="H1" s="451"/>
      <c r="I1" s="451"/>
      <c r="J1" s="451"/>
      <c r="K1" s="451"/>
      <c r="L1" s="451"/>
      <c r="M1" s="451"/>
      <c r="N1" s="451"/>
      <c r="O1" s="451"/>
      <c r="P1" s="451"/>
    </row>
    <row r="2" spans="1:30" ht="20" x14ac:dyDescent="0.4">
      <c r="A2" s="436" t="s">
        <v>122</v>
      </c>
      <c r="B2" s="436"/>
      <c r="C2" s="436"/>
      <c r="D2" s="436"/>
      <c r="E2" s="436"/>
      <c r="F2" s="436"/>
      <c r="G2" s="436"/>
      <c r="H2" s="436"/>
      <c r="I2" s="436"/>
      <c r="J2" s="436"/>
      <c r="K2" s="436"/>
      <c r="L2" s="436"/>
      <c r="M2" s="436"/>
      <c r="N2" s="436"/>
      <c r="O2" s="436"/>
      <c r="P2" s="436"/>
    </row>
    <row r="3" spans="1:30" ht="18" x14ac:dyDescent="0.4">
      <c r="A3" s="452" t="s">
        <v>83</v>
      </c>
      <c r="B3" s="452"/>
      <c r="C3" s="452"/>
      <c r="D3" s="452"/>
      <c r="E3" s="452"/>
      <c r="F3" s="452"/>
      <c r="G3" s="452"/>
      <c r="H3" s="452"/>
      <c r="I3" s="452"/>
      <c r="J3" s="452"/>
      <c r="K3" s="452"/>
      <c r="L3" s="452"/>
      <c r="M3" s="452"/>
      <c r="N3" s="452"/>
      <c r="O3" s="452"/>
      <c r="P3" s="452"/>
    </row>
    <row r="4" spans="1:30" ht="15.5" x14ac:dyDescent="0.35">
      <c r="A4" s="437" t="str">
        <f>'Customer Info'!B11</f>
        <v>Breakdown of Charges Based on Entered Information</v>
      </c>
      <c r="B4" s="437"/>
      <c r="C4" s="437"/>
      <c r="D4" s="437"/>
      <c r="E4" s="437"/>
      <c r="F4" s="437"/>
      <c r="G4" s="437"/>
      <c r="H4" s="437"/>
      <c r="I4" s="437"/>
      <c r="J4" s="437"/>
      <c r="K4" s="437"/>
      <c r="L4" s="437"/>
      <c r="M4" s="437"/>
      <c r="N4" s="437"/>
      <c r="O4" s="437"/>
      <c r="P4" s="437"/>
    </row>
    <row r="5" spans="1:30" ht="15.5" x14ac:dyDescent="0.35">
      <c r="A5" s="75"/>
      <c r="B5" s="75"/>
      <c r="C5" s="75"/>
      <c r="D5" s="75"/>
      <c r="E5" s="75"/>
      <c r="F5" s="75"/>
      <c r="G5" s="75"/>
      <c r="H5" s="75"/>
      <c r="I5" s="75"/>
      <c r="J5" s="75"/>
      <c r="K5" s="75"/>
    </row>
    <row r="6" spans="1:30" x14ac:dyDescent="0.25">
      <c r="A6" s="76">
        <f ca="1">TODAY()</f>
        <v>45378</v>
      </c>
      <c r="B6" s="210" t="s">
        <v>261</v>
      </c>
      <c r="C6" s="76"/>
      <c r="D6" s="76"/>
      <c r="E6" s="76"/>
      <c r="F6" s="76"/>
      <c r="G6" s="76"/>
      <c r="H6" s="76"/>
      <c r="I6" s="76"/>
    </row>
    <row r="7" spans="1:30" ht="25" x14ac:dyDescent="0.5">
      <c r="A7" s="453"/>
      <c r="B7" s="453"/>
      <c r="C7" s="453"/>
      <c r="D7" s="453"/>
      <c r="E7" s="453"/>
      <c r="F7" s="453"/>
      <c r="G7" s="453"/>
      <c r="H7" s="453"/>
      <c r="I7" s="453"/>
      <c r="J7" s="453"/>
      <c r="K7" s="453"/>
      <c r="L7" s="453"/>
      <c r="M7" s="453"/>
      <c r="N7" s="453"/>
      <c r="O7" s="453"/>
      <c r="P7" s="453"/>
    </row>
    <row r="8" spans="1:30" x14ac:dyDescent="0.25">
      <c r="C8" s="18"/>
      <c r="D8" s="18"/>
      <c r="E8" s="18"/>
      <c r="F8" s="18"/>
      <c r="G8" s="18"/>
      <c r="H8" s="18"/>
      <c r="I8" s="18"/>
      <c r="J8" s="18"/>
      <c r="K8" s="18"/>
    </row>
    <row r="9" spans="1:30" ht="15.5" x14ac:dyDescent="0.35">
      <c r="A9" s="23" t="s">
        <v>2</v>
      </c>
      <c r="B9" s="24"/>
      <c r="C9" s="25">
        <f>'Customer Info'!B7</f>
        <v>0</v>
      </c>
      <c r="I9" s="26"/>
    </row>
    <row r="10" spans="1:30" ht="15.5" x14ac:dyDescent="0.35">
      <c r="A10" s="27" t="s">
        <v>26</v>
      </c>
      <c r="B10" s="24"/>
      <c r="C10" s="25">
        <f>'Customer Info'!B8</f>
        <v>0</v>
      </c>
    </row>
    <row r="11" spans="1:30" ht="13" x14ac:dyDescent="0.3">
      <c r="A11" s="23" t="s">
        <v>3</v>
      </c>
      <c r="B11" s="200">
        <f>'Customer Info'!B9</f>
        <v>4</v>
      </c>
      <c r="C11" s="194" t="str">
        <f>LOOKUP(B11,R11:AD11,R12:AD12)</f>
        <v>April</v>
      </c>
      <c r="D11" s="133">
        <f>'Customer Info'!C9</f>
        <v>2024</v>
      </c>
      <c r="S11">
        <v>1</v>
      </c>
      <c r="T11">
        <v>2</v>
      </c>
      <c r="U11">
        <v>3</v>
      </c>
      <c r="V11">
        <v>4</v>
      </c>
      <c r="W11">
        <v>5</v>
      </c>
      <c r="X11">
        <v>6</v>
      </c>
      <c r="Y11">
        <v>7</v>
      </c>
      <c r="Z11">
        <v>8</v>
      </c>
      <c r="AA11">
        <v>9</v>
      </c>
      <c r="AB11">
        <v>10</v>
      </c>
      <c r="AC11">
        <v>11</v>
      </c>
      <c r="AD11">
        <v>12</v>
      </c>
    </row>
    <row r="12" spans="1:30" ht="13" x14ac:dyDescent="0.3">
      <c r="A12" s="446"/>
      <c r="B12" s="446"/>
      <c r="C12" s="446"/>
      <c r="D12" s="446"/>
      <c r="E12" s="446"/>
      <c r="F12" s="446"/>
      <c r="G12" s="446"/>
      <c r="H12" s="446"/>
      <c r="I12" s="446"/>
      <c r="J12" s="92"/>
      <c r="K12" s="92"/>
      <c r="L12" s="128"/>
      <c r="M12" s="128"/>
      <c r="N12" s="128"/>
      <c r="O12" s="128"/>
      <c r="P12" s="128"/>
      <c r="R12" t="s">
        <v>114</v>
      </c>
      <c r="S12" s="145" t="s">
        <v>101</v>
      </c>
      <c r="T12" s="145" t="s">
        <v>102</v>
      </c>
      <c r="U12" s="145" t="s">
        <v>103</v>
      </c>
      <c r="V12" s="145" t="s">
        <v>104</v>
      </c>
      <c r="W12" s="145" t="s">
        <v>105</v>
      </c>
      <c r="X12" s="145" t="s">
        <v>106</v>
      </c>
      <c r="Y12" s="145" t="s">
        <v>107</v>
      </c>
      <c r="Z12" s="145" t="s">
        <v>108</v>
      </c>
      <c r="AA12" s="145" t="s">
        <v>109</v>
      </c>
      <c r="AB12" s="145" t="s">
        <v>111</v>
      </c>
      <c r="AC12" s="145" t="s">
        <v>110</v>
      </c>
      <c r="AD12" s="145" t="s">
        <v>112</v>
      </c>
    </row>
    <row r="13" spans="1:30" ht="13" x14ac:dyDescent="0.3">
      <c r="A13" s="28" t="s">
        <v>27</v>
      </c>
      <c r="B13" s="22"/>
      <c r="C13" s="22"/>
      <c r="D13" s="22"/>
      <c r="E13" s="22"/>
      <c r="F13" s="22"/>
      <c r="G13" s="22"/>
      <c r="H13" s="22"/>
      <c r="I13" s="22"/>
      <c r="R13" s="3" t="s">
        <v>196</v>
      </c>
      <c r="S13">
        <f>'Rider Rates'!$C$22</f>
        <v>0.10589</v>
      </c>
      <c r="T13">
        <f>'Rider Rates'!$C$22</f>
        <v>0.10589</v>
      </c>
      <c r="U13">
        <f>'Rider Rates'!$C$22</f>
        <v>0.10589</v>
      </c>
      <c r="V13">
        <f>'Rider Rates'!$C$22</f>
        <v>0.10589</v>
      </c>
      <c r="W13">
        <f>'Rider Rates'!$C$22</f>
        <v>0.10589</v>
      </c>
      <c r="X13">
        <f>'Rider Rates'!$B$22</f>
        <v>0.10589</v>
      </c>
      <c r="Y13">
        <f>'Rider Rates'!$B$22</f>
        <v>0.10589</v>
      </c>
      <c r="Z13">
        <f>'Rider Rates'!$B$22</f>
        <v>0.10589</v>
      </c>
      <c r="AA13">
        <f>'Rider Rates'!$B$22</f>
        <v>0.10589</v>
      </c>
      <c r="AB13">
        <f>'Rider Rates'!$C$22</f>
        <v>0.10589</v>
      </c>
      <c r="AC13">
        <f>'Rider Rates'!$C$22</f>
        <v>0.10589</v>
      </c>
      <c r="AD13">
        <f>'Rider Rates'!$C$22</f>
        <v>0.10589</v>
      </c>
    </row>
    <row r="14" spans="1:30" x14ac:dyDescent="0.25">
      <c r="A14" s="18"/>
      <c r="B14" s="18"/>
      <c r="C14" s="18"/>
      <c r="D14" s="18"/>
      <c r="E14" s="18"/>
      <c r="F14" s="18"/>
      <c r="G14" s="18"/>
      <c r="H14" s="18"/>
      <c r="I14" s="18"/>
      <c r="R14" s="78"/>
      <c r="S14" s="193"/>
      <c r="T14" s="193"/>
      <c r="U14" s="193"/>
      <c r="V14" s="193"/>
      <c r="W14" s="193"/>
      <c r="X14" s="193"/>
      <c r="Y14" s="193"/>
      <c r="Z14" s="193"/>
      <c r="AA14" s="193"/>
      <c r="AB14" s="193"/>
      <c r="AC14" s="193"/>
      <c r="AD14" s="193"/>
    </row>
    <row r="15" spans="1:30" x14ac:dyDescent="0.25">
      <c r="A15" s="31" t="s">
        <v>51</v>
      </c>
      <c r="B15" s="31"/>
      <c r="C15" s="32">
        <f>IF('Customer Info'!B21+'Customer Info'!B22-'Customer Info'!B23&lt;0,0,'Customer Info'!B21+'Customer Info'!B22-'Customer Info'!B23)</f>
        <v>0</v>
      </c>
      <c r="D15" s="31" t="s">
        <v>41</v>
      </c>
      <c r="E15" s="31"/>
      <c r="F15" s="33"/>
      <c r="G15" s="31"/>
      <c r="H15" s="31"/>
      <c r="I15" s="31"/>
      <c r="R15" s="78"/>
      <c r="S15" s="193"/>
      <c r="T15" s="193"/>
      <c r="U15" s="193"/>
      <c r="V15" s="193"/>
      <c r="W15" s="193"/>
      <c r="X15" s="193"/>
      <c r="Y15" s="193"/>
      <c r="Z15" s="193"/>
      <c r="AA15" s="193"/>
      <c r="AB15" s="193"/>
      <c r="AC15" s="193"/>
      <c r="AD15" s="193"/>
    </row>
    <row r="16" spans="1:30" ht="13" x14ac:dyDescent="0.3">
      <c r="A16" s="31"/>
      <c r="B16" s="31"/>
      <c r="C16" s="32"/>
      <c r="D16" s="31"/>
      <c r="E16" s="31"/>
      <c r="F16" s="33"/>
      <c r="G16" s="23" t="s">
        <v>15</v>
      </c>
      <c r="H16" s="31"/>
    </row>
    <row r="17" spans="1:221" ht="13" x14ac:dyDescent="0.3">
      <c r="A17" s="31"/>
      <c r="B17" s="31"/>
      <c r="C17" s="33"/>
      <c r="D17" s="33"/>
      <c r="E17" s="33"/>
      <c r="F17" s="33"/>
      <c r="G17" s="23" t="s">
        <v>15</v>
      </c>
      <c r="H17" s="31"/>
      <c r="I17" s="52" t="s">
        <v>15</v>
      </c>
    </row>
    <row r="19" spans="1:221" ht="13" x14ac:dyDescent="0.3">
      <c r="A19" s="28" t="s">
        <v>31</v>
      </c>
      <c r="B19" s="22"/>
      <c r="C19" s="22"/>
      <c r="D19" s="22"/>
      <c r="E19" s="22"/>
      <c r="F19" s="22"/>
      <c r="G19" s="447" t="s">
        <v>67</v>
      </c>
      <c r="H19" s="448"/>
      <c r="I19" s="448"/>
      <c r="J19" s="449"/>
      <c r="K19" s="22"/>
      <c r="L19" s="450" t="s">
        <v>68</v>
      </c>
      <c r="M19" s="450"/>
      <c r="N19" s="450"/>
      <c r="O19" s="450"/>
    </row>
    <row r="20" spans="1:221" ht="13" x14ac:dyDescent="0.3">
      <c r="A20" s="18"/>
      <c r="B20" s="18"/>
      <c r="C20" s="18"/>
      <c r="D20" s="18"/>
      <c r="E20" s="18"/>
      <c r="F20" s="18"/>
      <c r="G20" s="8" t="s">
        <v>64</v>
      </c>
      <c r="H20" s="8" t="s">
        <v>65</v>
      </c>
      <c r="I20" s="8" t="s">
        <v>66</v>
      </c>
      <c r="J20" s="112" t="s">
        <v>34</v>
      </c>
      <c r="K20" s="18"/>
      <c r="L20" s="131" t="s">
        <v>64</v>
      </c>
      <c r="M20" s="131" t="s">
        <v>65</v>
      </c>
      <c r="N20" s="131" t="s">
        <v>66</v>
      </c>
      <c r="O20" s="132" t="s">
        <v>34</v>
      </c>
      <c r="P20" s="43" t="s">
        <v>56</v>
      </c>
    </row>
    <row r="21" spans="1:221" x14ac:dyDescent="0.25">
      <c r="A21" t="s">
        <v>32</v>
      </c>
      <c r="G21" s="86"/>
      <c r="H21" s="86"/>
      <c r="I21" s="86">
        <v>9.4</v>
      </c>
      <c r="J21" s="86">
        <f>SUM(G21:I21)</f>
        <v>9.4</v>
      </c>
      <c r="L21" s="88"/>
      <c r="M21" s="88"/>
      <c r="N21" s="88">
        <f>I21</f>
        <v>9.4</v>
      </c>
      <c r="O21" s="209">
        <f>SUM(L21:N21)</f>
        <v>9.4</v>
      </c>
      <c r="P21" s="245">
        <v>44531</v>
      </c>
    </row>
    <row r="22" spans="1:221" x14ac:dyDescent="0.25">
      <c r="A22" t="s">
        <v>132</v>
      </c>
      <c r="D22" s="1">
        <f>C15</f>
        <v>0</v>
      </c>
      <c r="E22" s="35" t="s">
        <v>41</v>
      </c>
      <c r="F22" s="4" t="s">
        <v>8</v>
      </c>
      <c r="G22" s="84"/>
      <c r="H22" s="84"/>
      <c r="I22" s="84">
        <v>2.30262E-2</v>
      </c>
      <c r="J22" s="84">
        <f>SUM(G22:I22)</f>
        <v>2.30262E-2</v>
      </c>
      <c r="K22" s="36" t="s">
        <v>42</v>
      </c>
      <c r="L22" s="87"/>
      <c r="M22" s="87"/>
      <c r="N22" s="87">
        <f>IF(C15&lt;0,0,ROUND($D22*I22,2))</f>
        <v>0</v>
      </c>
      <c r="O22" s="209">
        <f>SUM(L22:N22)</f>
        <v>0</v>
      </c>
      <c r="P22" s="245">
        <v>45261</v>
      </c>
    </row>
    <row r="23" spans="1:221" ht="13" x14ac:dyDescent="0.3">
      <c r="A23" s="37" t="s">
        <v>50</v>
      </c>
      <c r="B23" s="37"/>
      <c r="C23" s="37"/>
      <c r="D23" s="38"/>
      <c r="E23" s="38"/>
      <c r="F23" s="37"/>
      <c r="G23" s="37"/>
      <c r="H23" s="37"/>
      <c r="I23" s="37"/>
      <c r="J23" s="37"/>
      <c r="K23" s="39"/>
      <c r="L23" s="40"/>
      <c r="M23" s="40"/>
      <c r="N23" s="40">
        <f>SUM(N21:N22)</f>
        <v>9.4</v>
      </c>
      <c r="O23" s="40">
        <f>SUM(O21:O22)</f>
        <v>9.4</v>
      </c>
    </row>
    <row r="24" spans="1:221" ht="13" x14ac:dyDescent="0.3">
      <c r="A24" s="89"/>
      <c r="B24" s="89"/>
      <c r="C24" s="90"/>
      <c r="D24" s="90"/>
      <c r="E24" s="90"/>
      <c r="F24" s="90"/>
      <c r="G24" s="91"/>
      <c r="H24" s="91"/>
      <c r="I24" s="91"/>
      <c r="J24" s="91"/>
      <c r="K24" s="89"/>
      <c r="L24" s="89"/>
      <c r="M24" s="89"/>
      <c r="N24" s="89"/>
      <c r="O24" s="89"/>
      <c r="P24" s="89"/>
    </row>
    <row r="25" spans="1:221" ht="13" x14ac:dyDescent="0.3">
      <c r="A25" s="148" t="s">
        <v>69</v>
      </c>
      <c r="B25" s="166"/>
      <c r="C25" s="166"/>
      <c r="D25" s="167"/>
      <c r="E25" s="167"/>
      <c r="F25" s="166"/>
      <c r="G25" s="167"/>
      <c r="H25" s="167"/>
      <c r="I25" s="167"/>
      <c r="J25" s="167"/>
      <c r="K25" s="167"/>
      <c r="L25" s="167"/>
      <c r="M25" s="167"/>
      <c r="N25" s="167"/>
      <c r="O25" s="167"/>
      <c r="P25" s="160"/>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row>
    <row r="26" spans="1:221" x14ac:dyDescent="0.25">
      <c r="A26" s="151"/>
      <c r="B26" s="151"/>
      <c r="C26" s="151"/>
      <c r="D26" s="151"/>
      <c r="E26" s="151"/>
      <c r="F26" s="151"/>
      <c r="G26" s="151"/>
      <c r="H26" s="151"/>
      <c r="I26" s="151"/>
      <c r="J26" s="151"/>
      <c r="K26" s="151"/>
      <c r="L26" s="151"/>
      <c r="M26" s="151"/>
      <c r="N26" s="151"/>
      <c r="O26" s="151"/>
      <c r="P26" s="174"/>
      <c r="Q26" s="106"/>
      <c r="R26" s="175"/>
      <c r="S26" s="108"/>
      <c r="T26" s="109"/>
      <c r="U26" s="78"/>
      <c r="V26" s="110"/>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row>
    <row r="27" spans="1:221" x14ac:dyDescent="0.25">
      <c r="A27" s="99" t="s">
        <v>78</v>
      </c>
      <c r="B27" s="176"/>
      <c r="C27" s="176"/>
      <c r="D27" s="100">
        <f>IF($C$15&lt;0,0,IF($C$15&gt;833000,833000,$C$15))</f>
        <v>0</v>
      </c>
      <c r="E27" s="101" t="s">
        <v>41</v>
      </c>
      <c r="F27" s="102" t="s">
        <v>8</v>
      </c>
      <c r="G27" s="103"/>
      <c r="H27" s="103"/>
      <c r="I27" s="103">
        <f>'Rider Rates'!$B$4</f>
        <v>5.9216E-3</v>
      </c>
      <c r="J27" s="103">
        <f t="shared" ref="J27:J47" si="0">SUM(G27:I27)</f>
        <v>5.9216E-3</v>
      </c>
      <c r="K27" s="104" t="s">
        <v>42</v>
      </c>
      <c r="L27" s="105"/>
      <c r="M27" s="105"/>
      <c r="N27" s="105">
        <f t="shared" ref="N27:N32" si="1">ROUND(D27*I27,2)</f>
        <v>0</v>
      </c>
      <c r="O27" s="105">
        <f t="shared" ref="O27:O48" si="2">SUM(L27:N27)</f>
        <v>0</v>
      </c>
      <c r="P27" s="245">
        <f>'Rider Rates'!$D$4</f>
        <v>45293</v>
      </c>
      <c r="Q27" s="106"/>
      <c r="R27" s="107"/>
      <c r="S27" s="108"/>
      <c r="T27" s="109"/>
      <c r="U27" s="78"/>
      <c r="V27" s="110"/>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row>
    <row r="28" spans="1:221" x14ac:dyDescent="0.25">
      <c r="A28" s="99" t="s">
        <v>79</v>
      </c>
      <c r="B28" s="78"/>
      <c r="C28" s="78"/>
      <c r="D28" s="123">
        <f>IF($C$15&gt;833000,$C$15-833000,0)</f>
        <v>0</v>
      </c>
      <c r="E28" s="101" t="s">
        <v>41</v>
      </c>
      <c r="F28" s="102" t="s">
        <v>8</v>
      </c>
      <c r="G28" s="103"/>
      <c r="H28" s="103"/>
      <c r="I28" s="103">
        <f>'Rider Rates'!$B$5</f>
        <v>1.7560000000000001E-4</v>
      </c>
      <c r="J28" s="103">
        <f t="shared" si="0"/>
        <v>1.7560000000000001E-4</v>
      </c>
      <c r="K28" s="104" t="s">
        <v>42</v>
      </c>
      <c r="L28" s="105"/>
      <c r="M28" s="105"/>
      <c r="N28" s="105">
        <f t="shared" si="1"/>
        <v>0</v>
      </c>
      <c r="O28" s="105">
        <f t="shared" si="2"/>
        <v>0</v>
      </c>
      <c r="P28" s="245">
        <f>'Rider Rates'!$D$4</f>
        <v>45293</v>
      </c>
      <c r="Q28" s="106"/>
      <c r="R28" s="107"/>
      <c r="S28" s="108"/>
      <c r="T28" s="109"/>
      <c r="U28" s="78"/>
      <c r="V28" s="110"/>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row>
    <row r="29" spans="1:221" x14ac:dyDescent="0.25">
      <c r="A29" s="99" t="s">
        <v>96</v>
      </c>
      <c r="B29" s="78"/>
      <c r="C29" s="78"/>
      <c r="D29" s="100">
        <f>IF('Customer Info'!$C$32=TRUE,0,IF($C$15&lt;0,0,IF($C$15&gt;2000,2000,$C$15)))</f>
        <v>0</v>
      </c>
      <c r="E29" s="101" t="s">
        <v>41</v>
      </c>
      <c r="F29" s="102" t="s">
        <v>8</v>
      </c>
      <c r="G29" s="103"/>
      <c r="H29" s="103"/>
      <c r="I29" s="177">
        <f>'Rider Rates'!$B$8</f>
        <v>4.6499999999999996E-3</v>
      </c>
      <c r="J29" s="177">
        <f t="shared" si="0"/>
        <v>4.6499999999999996E-3</v>
      </c>
      <c r="K29" s="104" t="s">
        <v>42</v>
      </c>
      <c r="L29" s="105"/>
      <c r="M29" s="105"/>
      <c r="N29" s="105">
        <f t="shared" si="1"/>
        <v>0</v>
      </c>
      <c r="O29" s="105">
        <f t="shared" si="2"/>
        <v>0</v>
      </c>
      <c r="P29" s="245">
        <f>'Rider Rates'!$D$7</f>
        <v>44531</v>
      </c>
      <c r="Q29" s="106"/>
      <c r="R29" s="107"/>
      <c r="S29" s="108"/>
      <c r="T29" s="109"/>
      <c r="U29" s="78"/>
      <c r="V29" s="110"/>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row>
    <row r="30" spans="1:221" x14ac:dyDescent="0.25">
      <c r="A30" s="99" t="s">
        <v>97</v>
      </c>
      <c r="B30" s="78"/>
      <c r="C30" s="78"/>
      <c r="D30" s="100">
        <f>IF('Customer Info'!$C$32=TRUE,0,IF($C$15&lt;=2000,0,IF($C$15=0,0,IF($C$15-2000&gt;13000,13000,$C$15-2000))))</f>
        <v>0</v>
      </c>
      <c r="E30" s="101" t="s">
        <v>41</v>
      </c>
      <c r="F30" s="102" t="s">
        <v>8</v>
      </c>
      <c r="G30" s="103"/>
      <c r="H30" s="103"/>
      <c r="I30" s="177">
        <f>'Rider Rates'!$B$9</f>
        <v>4.1900000000000001E-3</v>
      </c>
      <c r="J30" s="177">
        <f t="shared" si="0"/>
        <v>4.1900000000000001E-3</v>
      </c>
      <c r="K30" s="104" t="s">
        <v>42</v>
      </c>
      <c r="L30" s="105"/>
      <c r="M30" s="105"/>
      <c r="N30" s="105">
        <f t="shared" si="1"/>
        <v>0</v>
      </c>
      <c r="O30" s="105">
        <f t="shared" si="2"/>
        <v>0</v>
      </c>
      <c r="P30" s="245">
        <f>'Rider Rates'!$D$7</f>
        <v>44531</v>
      </c>
      <c r="Q30" s="106"/>
      <c r="R30" s="107"/>
      <c r="S30" s="108"/>
      <c r="T30" s="109"/>
      <c r="U30" s="78"/>
      <c r="V30" s="110"/>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row>
    <row r="31" spans="1:221" x14ac:dyDescent="0.25">
      <c r="A31" s="99" t="s">
        <v>98</v>
      </c>
      <c r="B31" s="78"/>
      <c r="C31" s="78"/>
      <c r="D31" s="100">
        <f>IF('Customer Info'!$C$32=TRUE,0,IF($C$15=0,0,IF($C$15-15000&gt;=0,$C$15-15000,0)))</f>
        <v>0</v>
      </c>
      <c r="E31" s="101" t="s">
        <v>41</v>
      </c>
      <c r="F31" s="102" t="s">
        <v>8</v>
      </c>
      <c r="G31" s="103"/>
      <c r="H31" s="103"/>
      <c r="I31" s="177">
        <f>'Rider Rates'!$B$10</f>
        <v>3.63E-3</v>
      </c>
      <c r="J31" s="177">
        <f t="shared" si="0"/>
        <v>3.63E-3</v>
      </c>
      <c r="K31" s="104" t="s">
        <v>42</v>
      </c>
      <c r="L31" s="105"/>
      <c r="M31" s="105"/>
      <c r="N31" s="105">
        <f t="shared" si="1"/>
        <v>0</v>
      </c>
      <c r="O31" s="105">
        <f t="shared" si="2"/>
        <v>0</v>
      </c>
      <c r="P31" s="245">
        <f>'Rider Rates'!$D$7</f>
        <v>44531</v>
      </c>
      <c r="Q31" s="106"/>
      <c r="R31" s="107"/>
      <c r="S31" s="108"/>
      <c r="T31" s="109"/>
      <c r="U31" s="78"/>
      <c r="V31" s="110"/>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row>
    <row r="32" spans="1:221" x14ac:dyDescent="0.25">
      <c r="A32" s="210" t="s">
        <v>160</v>
      </c>
      <c r="B32" s="78"/>
      <c r="C32" s="78"/>
      <c r="D32" s="100">
        <f>IF($C$15&lt;0,0,$C$15)</f>
        <v>0</v>
      </c>
      <c r="E32" s="101" t="s">
        <v>41</v>
      </c>
      <c r="F32" s="102" t="s">
        <v>8</v>
      </c>
      <c r="G32" s="103"/>
      <c r="H32" s="103"/>
      <c r="I32" s="103">
        <f>'Rider Rates'!$B$16</f>
        <v>0</v>
      </c>
      <c r="J32" s="103">
        <f>SUM(G32:I32)</f>
        <v>0</v>
      </c>
      <c r="K32" s="104" t="s">
        <v>42</v>
      </c>
      <c r="L32" s="105"/>
      <c r="M32" s="105"/>
      <c r="N32" s="105">
        <f t="shared" si="1"/>
        <v>0</v>
      </c>
      <c r="O32" s="105">
        <f t="shared" ref="O32:O38" si="3">SUM(L32:N32)</f>
        <v>0</v>
      </c>
      <c r="P32" s="245">
        <f>'Rider Rates'!$D$16</f>
        <v>45197</v>
      </c>
      <c r="Q32" s="106"/>
      <c r="R32" s="107"/>
      <c r="S32" s="108"/>
      <c r="T32" s="109"/>
      <c r="U32" s="78"/>
      <c r="V32" s="110"/>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row>
    <row r="33" spans="1:221" ht="13" x14ac:dyDescent="0.3">
      <c r="A33" s="210" t="s">
        <v>247</v>
      </c>
      <c r="B33" s="78"/>
      <c r="C33" s="78"/>
      <c r="D33" s="195">
        <f>$N$23</f>
        <v>9.4</v>
      </c>
      <c r="E33" s="101" t="s">
        <v>121</v>
      </c>
      <c r="F33" s="102" t="s">
        <v>8</v>
      </c>
      <c r="G33" s="103"/>
      <c r="H33" s="103"/>
      <c r="I33" s="178">
        <f>'Rider Rates'!$B$18+'Rider Rates'!$E$18</f>
        <v>0</v>
      </c>
      <c r="J33" s="178">
        <f>SUM(G33:I33)</f>
        <v>0</v>
      </c>
      <c r="K33" s="104"/>
      <c r="L33" s="105"/>
      <c r="M33" s="105"/>
      <c r="N33" s="105">
        <f>ROUND($D$33*'Rider Rates'!$B$18,2)+ROUND($D$33*'Rider Rates'!$E$18,2)</f>
        <v>0</v>
      </c>
      <c r="O33" s="105">
        <f t="shared" si="3"/>
        <v>0</v>
      </c>
      <c r="P33" s="245">
        <f>MAX('Rider Rates'!$D$18,'Rider Rates'!$F$18)</f>
        <v>44531</v>
      </c>
      <c r="Q33" s="106"/>
      <c r="R33" s="107"/>
      <c r="S33" s="108"/>
      <c r="T33" s="109"/>
      <c r="U33" s="78"/>
      <c r="V33" s="110"/>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row>
    <row r="34" spans="1:221" x14ac:dyDescent="0.25">
      <c r="A34" s="210" t="s">
        <v>195</v>
      </c>
      <c r="B34" s="78"/>
      <c r="C34" s="78"/>
      <c r="D34" s="100">
        <f>'Customer Info'!$B$21+'Customer Info'!$B$22-'Customer Info'!$B$23</f>
        <v>0</v>
      </c>
      <c r="E34" s="101" t="s">
        <v>41</v>
      </c>
      <c r="F34" s="102" t="s">
        <v>8</v>
      </c>
      <c r="G34" s="103">
        <f>'Rider Rates'!B22</f>
        <v>0.10589</v>
      </c>
      <c r="H34" s="103"/>
      <c r="I34" s="103"/>
      <c r="J34" s="237">
        <f>SUM(G34:H34)</f>
        <v>0.10589</v>
      </c>
      <c r="K34" s="104" t="s">
        <v>42</v>
      </c>
      <c r="L34" s="105">
        <f>ROUND(D34*G34,2)</f>
        <v>0</v>
      </c>
      <c r="M34" s="105"/>
      <c r="N34" s="105"/>
      <c r="O34" s="105">
        <f t="shared" si="3"/>
        <v>0</v>
      </c>
      <c r="P34" s="245">
        <f>'Rider Rates'!$D$22</f>
        <v>45078</v>
      </c>
      <c r="Q34" s="106"/>
      <c r="R34" s="107"/>
      <c r="S34" s="108"/>
      <c r="T34" s="109"/>
      <c r="U34" s="78"/>
      <c r="V34" s="110"/>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row>
    <row r="35" spans="1:221" x14ac:dyDescent="0.25">
      <c r="A35" s="210" t="s">
        <v>162</v>
      </c>
      <c r="B35" s="78"/>
      <c r="C35" s="78"/>
      <c r="D35" s="100">
        <f>'Customer Info'!$B$21+'Customer Info'!$B$22-'Customer Info'!$B$23</f>
        <v>0</v>
      </c>
      <c r="E35" s="101" t="s">
        <v>41</v>
      </c>
      <c r="F35" s="102" t="s">
        <v>8</v>
      </c>
      <c r="G35" s="103">
        <f>'Rider Rates'!$B$36</f>
        <v>3.31E-3</v>
      </c>
      <c r="H35" s="103"/>
      <c r="I35" s="103"/>
      <c r="J35" s="237">
        <f>SUM(G35:H35)</f>
        <v>3.31E-3</v>
      </c>
      <c r="K35" s="104" t="s">
        <v>42</v>
      </c>
      <c r="L35" s="105">
        <f>ROUND(D35*G35,2)</f>
        <v>0</v>
      </c>
      <c r="M35" s="105"/>
      <c r="N35" s="105"/>
      <c r="O35" s="105">
        <f t="shared" si="3"/>
        <v>0</v>
      </c>
      <c r="P35" s="245">
        <f>'Rider Rates'!$D$36</f>
        <v>45078</v>
      </c>
      <c r="Q35" s="106"/>
      <c r="R35" s="107"/>
      <c r="S35" s="108"/>
      <c r="T35" s="109"/>
      <c r="U35" s="78"/>
      <c r="V35" s="110"/>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row>
    <row r="36" spans="1:221" x14ac:dyDescent="0.25">
      <c r="A36" s="210" t="s">
        <v>202</v>
      </c>
      <c r="B36" s="78"/>
      <c r="C36" s="78"/>
      <c r="D36" s="100">
        <f>'Customer Info'!$B$21+'Customer Info'!$B$22-'Customer Info'!$B$23</f>
        <v>0</v>
      </c>
      <c r="E36" s="101" t="s">
        <v>41</v>
      </c>
      <c r="F36" s="102" t="s">
        <v>8</v>
      </c>
      <c r="G36" s="103">
        <f>'Rider Rates'!$B$46</f>
        <v>-4.8640000000000001E-4</v>
      </c>
      <c r="H36" s="103"/>
      <c r="I36" s="103"/>
      <c r="J36" s="237">
        <f>SUM(G36:H36)</f>
        <v>-4.8640000000000001E-4</v>
      </c>
      <c r="K36" s="104" t="s">
        <v>42</v>
      </c>
      <c r="L36" s="105">
        <f>ROUND(D36*G36,2)</f>
        <v>0</v>
      </c>
      <c r="M36" s="105"/>
      <c r="N36" s="105"/>
      <c r="O36" s="105">
        <f t="shared" si="3"/>
        <v>0</v>
      </c>
      <c r="P36" s="245">
        <f>'Rider Rates'!$D$46</f>
        <v>45383</v>
      </c>
      <c r="Q36" s="106"/>
      <c r="R36" s="107"/>
      <c r="S36" s="108"/>
      <c r="T36" s="109"/>
      <c r="U36" s="78"/>
      <c r="V36" s="110"/>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row>
    <row r="37" spans="1:221" x14ac:dyDescent="0.25">
      <c r="A37" s="241" t="s">
        <v>220</v>
      </c>
      <c r="B37" s="78"/>
      <c r="C37" s="78"/>
      <c r="D37" s="100">
        <f>IF($C$15&lt;0,0,IF($C$15&gt;833000,833000,$C$15))</f>
        <v>0</v>
      </c>
      <c r="E37" s="101" t="s">
        <v>41</v>
      </c>
      <c r="F37" s="102" t="s">
        <v>8</v>
      </c>
      <c r="G37" s="103"/>
      <c r="H37" s="103"/>
      <c r="I37" s="103">
        <f>'Rider Rates'!D50</f>
        <v>1.7826999999999999E-3</v>
      </c>
      <c r="J37" s="103">
        <f>SUM(G37:I37)</f>
        <v>1.7826999999999999E-3</v>
      </c>
      <c r="K37" s="104" t="s">
        <v>42</v>
      </c>
      <c r="L37" s="105"/>
      <c r="M37" s="105"/>
      <c r="N37" s="105">
        <f>D37*J37</f>
        <v>0</v>
      </c>
      <c r="O37" s="105">
        <f t="shared" si="3"/>
        <v>0</v>
      </c>
      <c r="P37" s="245">
        <f>'Rider Rates'!E50</f>
        <v>45292</v>
      </c>
      <c r="Q37" s="106"/>
      <c r="R37" s="107"/>
      <c r="S37" s="108"/>
      <c r="T37" s="109"/>
      <c r="U37" s="78"/>
      <c r="V37" s="110"/>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row>
    <row r="38" spans="1:221" x14ac:dyDescent="0.25">
      <c r="A38" s="210" t="s">
        <v>198</v>
      </c>
      <c r="B38" s="78"/>
      <c r="C38" s="78"/>
      <c r="D38" s="100">
        <f>IF($C$15&lt;0,0,$C$15)</f>
        <v>0</v>
      </c>
      <c r="E38" s="113" t="s">
        <v>41</v>
      </c>
      <c r="F38" s="102" t="s">
        <v>8</v>
      </c>
      <c r="G38" s="103"/>
      <c r="H38" s="103">
        <f>'Rider Rates'!$B$57</f>
        <v>2.3467399999999999E-2</v>
      </c>
      <c r="I38" s="103"/>
      <c r="J38" s="103">
        <f>SUM(G38:I38)</f>
        <v>2.3467399999999999E-2</v>
      </c>
      <c r="K38" s="104" t="s">
        <v>42</v>
      </c>
      <c r="L38" s="105"/>
      <c r="M38" s="105">
        <f>ROUND(D38*H38,2)</f>
        <v>0</v>
      </c>
      <c r="N38" s="205"/>
      <c r="O38" s="105">
        <f t="shared" si="3"/>
        <v>0</v>
      </c>
      <c r="P38" s="245">
        <f>'Rider Rates'!$D$57</f>
        <v>45383</v>
      </c>
      <c r="Q38" s="106"/>
      <c r="R38" s="107"/>
      <c r="S38" s="108"/>
      <c r="T38" s="109"/>
      <c r="U38" s="78"/>
      <c r="V38" s="110"/>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row>
    <row r="39" spans="1:221" x14ac:dyDescent="0.25">
      <c r="A39" s="99" t="s">
        <v>95</v>
      </c>
      <c r="B39" s="78"/>
      <c r="C39" s="78"/>
      <c r="D39" s="100">
        <f>IF('Customer Info'!C34=TRUE,0,IF($C$15&lt;0,0,$C$15))</f>
        <v>0</v>
      </c>
      <c r="E39" s="101" t="s">
        <v>41</v>
      </c>
      <c r="F39" s="102" t="s">
        <v>8</v>
      </c>
      <c r="G39" s="103"/>
      <c r="H39" s="103"/>
      <c r="I39" s="103">
        <f>'Rider Rates'!$B$69+'Rider Rates'!$C$69</f>
        <v>0</v>
      </c>
      <c r="J39" s="103">
        <f t="shared" si="0"/>
        <v>0</v>
      </c>
      <c r="K39" s="104" t="s">
        <v>42</v>
      </c>
      <c r="L39" s="105"/>
      <c r="M39" s="105"/>
      <c r="N39" s="105">
        <f>ROUND($D$39*'Rider Rates'!$B$69,2)+ROUND($D$39*'Rider Rates'!$C$69,2)</f>
        <v>0</v>
      </c>
      <c r="O39" s="105">
        <f t="shared" si="2"/>
        <v>0</v>
      </c>
      <c r="P39" s="245">
        <f>'Rider Rates'!$D$69</f>
        <v>44531</v>
      </c>
      <c r="Q39" s="106"/>
      <c r="R39" s="107"/>
      <c r="S39" s="108"/>
      <c r="T39" s="109"/>
      <c r="U39" s="78"/>
      <c r="V39" s="110"/>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row>
    <row r="40" spans="1:221" x14ac:dyDescent="0.25">
      <c r="A40" s="99" t="s">
        <v>95</v>
      </c>
      <c r="B40" s="78"/>
      <c r="C40" s="78"/>
      <c r="D40" s="100"/>
      <c r="E40" s="101" t="s">
        <v>114</v>
      </c>
      <c r="F40" s="102"/>
      <c r="G40" s="103"/>
      <c r="H40" s="103"/>
      <c r="I40" s="196">
        <f>'Rider Rates'!$B$76</f>
        <v>0</v>
      </c>
      <c r="J40" s="196">
        <f>IF('Customer Info'!C34=TRUE,0,SUM(G40:I40))</f>
        <v>0</v>
      </c>
      <c r="K40" s="104"/>
      <c r="L40" s="105"/>
      <c r="M40" s="105"/>
      <c r="N40" s="105">
        <f>J40</f>
        <v>0</v>
      </c>
      <c r="O40" s="105">
        <f>SUM(L40:N40)</f>
        <v>0</v>
      </c>
      <c r="P40" s="245">
        <f>'Rider Rates'!$D$76</f>
        <v>44531</v>
      </c>
      <c r="Q40" s="106"/>
      <c r="R40" s="107"/>
      <c r="S40" s="108"/>
      <c r="T40" s="109"/>
      <c r="U40" s="78"/>
      <c r="V40" s="110"/>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row>
    <row r="41" spans="1:221" ht="13" x14ac:dyDescent="0.3">
      <c r="A41" s="99" t="s">
        <v>80</v>
      </c>
      <c r="B41" s="78"/>
      <c r="C41" s="78"/>
      <c r="D41" s="195">
        <f>$N$23</f>
        <v>9.4</v>
      </c>
      <c r="E41" s="101" t="s">
        <v>121</v>
      </c>
      <c r="F41" s="102" t="s">
        <v>8</v>
      </c>
      <c r="G41" s="111"/>
      <c r="H41" s="112"/>
      <c r="I41" s="120">
        <f>'Rider Rates'!$B$84</f>
        <v>2.9347000000000002E-2</v>
      </c>
      <c r="J41" s="120">
        <f t="shared" si="0"/>
        <v>2.9347000000000002E-2</v>
      </c>
      <c r="K41" s="104"/>
      <c r="L41" s="105"/>
      <c r="M41" s="105"/>
      <c r="N41" s="105">
        <f>ROUND(D41*I41,2)</f>
        <v>0.28000000000000003</v>
      </c>
      <c r="O41" s="105">
        <f t="shared" si="2"/>
        <v>0.28000000000000003</v>
      </c>
      <c r="P41" s="245">
        <f>'Rider Rates'!$D$84</f>
        <v>45383</v>
      </c>
      <c r="Q41" s="106"/>
      <c r="R41" s="107"/>
      <c r="S41" s="108"/>
      <c r="T41" s="109"/>
      <c r="U41" s="78"/>
      <c r="V41" s="110"/>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row>
    <row r="42" spans="1:221" ht="13" x14ac:dyDescent="0.3">
      <c r="A42" s="99" t="s">
        <v>81</v>
      </c>
      <c r="B42" s="78"/>
      <c r="C42" s="78"/>
      <c r="D42" s="195">
        <f>$N$23</f>
        <v>9.4</v>
      </c>
      <c r="E42" s="101" t="s">
        <v>121</v>
      </c>
      <c r="F42" s="102" t="s">
        <v>8</v>
      </c>
      <c r="G42" s="114"/>
      <c r="H42" s="115"/>
      <c r="I42" s="120">
        <f>'Rider Rates'!$B$86</f>
        <v>6.6985699999999995E-2</v>
      </c>
      <c r="J42" s="120">
        <f t="shared" si="0"/>
        <v>6.6985699999999995E-2</v>
      </c>
      <c r="K42" s="104"/>
      <c r="L42" s="105"/>
      <c r="M42" s="105"/>
      <c r="N42" s="105">
        <f>ROUND(D42*I42,2)</f>
        <v>0.63</v>
      </c>
      <c r="O42" s="105">
        <f t="shared" si="2"/>
        <v>0.63</v>
      </c>
      <c r="P42" s="245">
        <f>'Rider Rates'!$D$86</f>
        <v>45167</v>
      </c>
      <c r="Q42" s="106"/>
      <c r="R42" s="107"/>
      <c r="S42" s="108"/>
      <c r="T42" s="109"/>
      <c r="U42" s="78"/>
      <c r="V42" s="110"/>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row>
    <row r="43" spans="1:221" ht="13" x14ac:dyDescent="0.3">
      <c r="A43" s="210" t="s">
        <v>216</v>
      </c>
      <c r="B43" s="78"/>
      <c r="C43" s="78"/>
      <c r="D43" s="195"/>
      <c r="E43" s="113" t="s">
        <v>114</v>
      </c>
      <c r="F43" s="106"/>
      <c r="G43" s="114"/>
      <c r="H43" s="115"/>
      <c r="I43" s="196">
        <f>'Rider Rates'!$B$90</f>
        <v>15.91</v>
      </c>
      <c r="J43" s="196">
        <f t="shared" si="0"/>
        <v>15.91</v>
      </c>
      <c r="K43" s="104"/>
      <c r="L43" s="105"/>
      <c r="M43" s="105"/>
      <c r="N43" s="105">
        <f>I43</f>
        <v>15.91</v>
      </c>
      <c r="O43" s="105">
        <f t="shared" si="2"/>
        <v>15.91</v>
      </c>
      <c r="P43" s="245">
        <f>'Rider Rates'!$D$90</f>
        <v>45351</v>
      </c>
      <c r="Q43" s="106"/>
      <c r="R43" s="107"/>
      <c r="S43" s="108"/>
      <c r="T43" s="109"/>
      <c r="U43" s="78"/>
      <c r="V43" s="110"/>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row>
    <row r="44" spans="1:221" x14ac:dyDescent="0.25">
      <c r="A44" s="210" t="s">
        <v>249</v>
      </c>
      <c r="B44" s="78"/>
      <c r="C44" s="78"/>
      <c r="D44" s="100">
        <f>IF($C$15&lt;0,0,$C$15)</f>
        <v>0</v>
      </c>
      <c r="E44" s="101" t="s">
        <v>41</v>
      </c>
      <c r="F44" s="102" t="s">
        <v>8</v>
      </c>
      <c r="G44" s="103"/>
      <c r="H44" s="103"/>
      <c r="I44" s="103"/>
      <c r="J44" s="103">
        <f>'Rider Rates'!$B$94</f>
        <v>0</v>
      </c>
      <c r="K44" s="104" t="s">
        <v>42</v>
      </c>
      <c r="L44" s="105"/>
      <c r="M44" s="105"/>
      <c r="N44" s="105"/>
      <c r="O44" s="105">
        <f>ROUND($D44*('Rider Rates'!B$94),2)</f>
        <v>0</v>
      </c>
      <c r="P44" s="245">
        <f>'Rider Rates'!$D$94</f>
        <v>44531</v>
      </c>
      <c r="Q44" s="106"/>
      <c r="R44" s="107"/>
      <c r="S44" s="108"/>
      <c r="T44" s="109"/>
      <c r="U44" s="78"/>
      <c r="V44" s="110"/>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row>
    <row r="45" spans="1:221" ht="13" x14ac:dyDescent="0.3">
      <c r="A45" s="99" t="s">
        <v>157</v>
      </c>
      <c r="B45" s="78"/>
      <c r="C45" s="78"/>
      <c r="D45" s="195">
        <f>$N$23</f>
        <v>9.4</v>
      </c>
      <c r="E45" s="101" t="s">
        <v>121</v>
      </c>
      <c r="F45" s="102" t="s">
        <v>8</v>
      </c>
      <c r="G45" s="114"/>
      <c r="H45" s="115"/>
      <c r="I45" s="120">
        <f>'Rider Rates'!$B$104</f>
        <v>0.21398439999999999</v>
      </c>
      <c r="J45" s="120">
        <f t="shared" si="0"/>
        <v>0.21398439999999999</v>
      </c>
      <c r="K45" s="104"/>
      <c r="L45" s="105"/>
      <c r="M45" s="105"/>
      <c r="N45" s="105">
        <f>ROUND(D45*I45,2)</f>
        <v>2.0099999999999998</v>
      </c>
      <c r="O45" s="105">
        <f t="shared" si="2"/>
        <v>2.0099999999999998</v>
      </c>
      <c r="P45" s="245">
        <f>'Rider Rates'!$D$104</f>
        <v>45351</v>
      </c>
      <c r="Q45" s="106"/>
      <c r="R45" s="107"/>
      <c r="S45" s="108"/>
      <c r="T45" s="109"/>
      <c r="U45" s="78"/>
      <c r="V45" s="110"/>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row>
    <row r="46" spans="1:221" ht="13" x14ac:dyDescent="0.3">
      <c r="A46" s="210" t="s">
        <v>219</v>
      </c>
      <c r="B46" s="78"/>
      <c r="C46" s="78"/>
      <c r="D46" s="195"/>
      <c r="E46" s="113" t="s">
        <v>114</v>
      </c>
      <c r="F46" s="106"/>
      <c r="G46" s="114"/>
      <c r="H46" s="115"/>
      <c r="I46" s="196">
        <f>'Rider Rates'!$B$108</f>
        <v>0</v>
      </c>
      <c r="J46" s="196">
        <f t="shared" si="0"/>
        <v>0</v>
      </c>
      <c r="K46" s="104"/>
      <c r="L46" s="105"/>
      <c r="M46" s="105"/>
      <c r="N46" s="105">
        <f>I46</f>
        <v>0</v>
      </c>
      <c r="O46" s="105">
        <f t="shared" si="2"/>
        <v>0</v>
      </c>
      <c r="P46" s="245">
        <f>'Rider Rates'!$D$108</f>
        <v>44894</v>
      </c>
      <c r="Q46" s="106"/>
      <c r="R46" s="107"/>
      <c r="S46" s="108"/>
      <c r="T46" s="109"/>
      <c r="U46" s="78"/>
      <c r="V46" s="110"/>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row>
    <row r="47" spans="1:221" ht="13" x14ac:dyDescent="0.3">
      <c r="A47" s="210" t="s">
        <v>227</v>
      </c>
      <c r="B47" s="78"/>
      <c r="C47" s="78"/>
      <c r="D47" s="195"/>
      <c r="E47" s="113" t="s">
        <v>114</v>
      </c>
      <c r="F47" s="106"/>
      <c r="G47" s="114"/>
      <c r="H47" s="115"/>
      <c r="I47" s="260">
        <f>'Rider Rates'!B121</f>
        <v>5.83</v>
      </c>
      <c r="J47" s="196">
        <f t="shared" si="0"/>
        <v>5.83</v>
      </c>
      <c r="K47" s="104"/>
      <c r="L47" s="105"/>
      <c r="M47" s="105"/>
      <c r="N47" s="262">
        <f>I47</f>
        <v>5.83</v>
      </c>
      <c r="O47" s="105">
        <f t="shared" si="2"/>
        <v>5.83</v>
      </c>
      <c r="P47" s="245">
        <f>'Rider Rates'!D121</f>
        <v>45226</v>
      </c>
      <c r="Q47" s="106"/>
      <c r="R47" s="107"/>
      <c r="S47" s="108"/>
      <c r="T47" s="109"/>
      <c r="U47" s="78"/>
      <c r="V47" s="110"/>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row>
    <row r="48" spans="1:221" x14ac:dyDescent="0.25">
      <c r="A48" s="99" t="s">
        <v>158</v>
      </c>
      <c r="B48" s="78"/>
      <c r="C48" s="78"/>
      <c r="D48" s="100">
        <f>'Customer Info'!$B$21+'Customer Info'!$B$22-'Customer Info'!$B$23</f>
        <v>0</v>
      </c>
      <c r="E48" s="101" t="s">
        <v>41</v>
      </c>
      <c r="F48" s="102" t="s">
        <v>8</v>
      </c>
      <c r="G48" s="103">
        <f>'Rider Rates'!$B$111</f>
        <v>3.8972999999999998E-3</v>
      </c>
      <c r="H48" s="103"/>
      <c r="I48" s="120"/>
      <c r="J48" s="237">
        <f>SUM(G48:H48)</f>
        <v>3.8972999999999998E-3</v>
      </c>
      <c r="K48" s="104" t="s">
        <v>42</v>
      </c>
      <c r="L48" s="105">
        <f>ROUND(D48*G48,2)</f>
        <v>0</v>
      </c>
      <c r="M48" s="105"/>
      <c r="N48" s="105"/>
      <c r="O48" s="105">
        <f t="shared" si="2"/>
        <v>0</v>
      </c>
      <c r="P48" s="245">
        <f>'Rider Rates'!$D$111</f>
        <v>44531</v>
      </c>
      <c r="Q48" s="106"/>
      <c r="R48" s="107"/>
      <c r="S48" s="108"/>
      <c r="T48" s="109"/>
      <c r="U48" s="78"/>
      <c r="V48" s="110"/>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row>
    <row r="49" spans="1:236" x14ac:dyDescent="0.25">
      <c r="A49" s="210" t="s">
        <v>218</v>
      </c>
      <c r="B49" s="78"/>
      <c r="C49" s="78"/>
      <c r="D49" s="100">
        <f>IF($C$15&lt;1,0,$C$15)</f>
        <v>0</v>
      </c>
      <c r="E49" s="101" t="s">
        <v>41</v>
      </c>
      <c r="F49" s="249" t="s">
        <v>8</v>
      </c>
      <c r="G49" s="165"/>
      <c r="H49" s="165"/>
      <c r="I49" s="251">
        <f>'Rider Rates'!B117</f>
        <v>-6.2E-4</v>
      </c>
      <c r="J49" s="251">
        <f>SUM(G49:I49)</f>
        <v>-6.2E-4</v>
      </c>
      <c r="K49" s="104" t="s">
        <v>42</v>
      </c>
      <c r="L49" s="105"/>
      <c r="M49" s="105"/>
      <c r="N49" s="105">
        <f>D49*J49</f>
        <v>0</v>
      </c>
      <c r="O49" s="105">
        <f>SUM(L49:N49)</f>
        <v>0</v>
      </c>
      <c r="P49" s="245">
        <f>'Rider Rates'!D117</f>
        <v>44531</v>
      </c>
      <c r="Q49" s="106"/>
      <c r="R49" s="107"/>
      <c r="S49" s="108"/>
      <c r="T49" s="109"/>
      <c r="U49" s="78"/>
      <c r="V49" s="110"/>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row>
    <row r="50" spans="1:236" x14ac:dyDescent="0.25">
      <c r="A50" s="78" t="s">
        <v>243</v>
      </c>
      <c r="B50" s="78"/>
      <c r="C50" s="78"/>
      <c r="D50" s="100">
        <f>IF(C15&lt;0,0,IF(C15&gt;833000,833000,C15))</f>
        <v>0</v>
      </c>
      <c r="E50" s="101" t="s">
        <v>41</v>
      </c>
      <c r="F50" s="102" t="s">
        <v>8</v>
      </c>
      <c r="G50" s="267"/>
      <c r="H50" s="267"/>
      <c r="I50" s="267">
        <f>'Rider Rates'!B125</f>
        <v>2.9050000000000001E-4</v>
      </c>
      <c r="J50" s="267">
        <f>SUM(G50:I50)</f>
        <v>2.9050000000000001E-4</v>
      </c>
      <c r="K50" s="104" t="s">
        <v>42</v>
      </c>
      <c r="L50" s="268"/>
      <c r="M50" s="268"/>
      <c r="N50" s="268">
        <f>IF(D50*J50&gt;'Rider Rates'!$C$125,'Rider Rates'!$C$125,D50*J50)</f>
        <v>0</v>
      </c>
      <c r="O50" s="268">
        <f>SUM(L50:N50)</f>
        <v>0</v>
      </c>
      <c r="P50" s="266">
        <f>'Rider Rates'!$E$125</f>
        <v>45292</v>
      </c>
      <c r="Q50" s="106"/>
      <c r="R50" s="107"/>
      <c r="S50" s="108"/>
      <c r="T50" s="109"/>
      <c r="U50" s="78"/>
      <c r="V50" s="110"/>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row>
    <row r="51" spans="1:236" x14ac:dyDescent="0.25">
      <c r="A51" s="78" t="s">
        <v>244</v>
      </c>
      <c r="B51" s="78"/>
      <c r="C51" s="78"/>
      <c r="D51" s="123">
        <f>IF(C15&gt;833000,C15-833000,0)</f>
        <v>0</v>
      </c>
      <c r="E51" s="101" t="s">
        <v>41</v>
      </c>
      <c r="F51" s="102" t="s">
        <v>8</v>
      </c>
      <c r="G51" s="267"/>
      <c r="H51" s="267"/>
      <c r="I51" s="267">
        <f>'Rider Rates'!B126</f>
        <v>0</v>
      </c>
      <c r="J51" s="267">
        <f>SUM(G51:I51)</f>
        <v>0</v>
      </c>
      <c r="K51" s="104" t="s">
        <v>42</v>
      </c>
      <c r="L51" s="268"/>
      <c r="M51" s="268"/>
      <c r="N51" s="268">
        <f>D51*J51</f>
        <v>0</v>
      </c>
      <c r="O51" s="268">
        <f>SUM(L51:N51)</f>
        <v>0</v>
      </c>
      <c r="P51" s="266">
        <f>'Rider Rates'!$E$126</f>
        <v>44927</v>
      </c>
      <c r="Q51" s="106"/>
      <c r="R51" s="107"/>
      <c r="S51" s="108"/>
      <c r="T51" s="109"/>
      <c r="U51" s="78"/>
      <c r="V51" s="110"/>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row>
    <row r="52" spans="1:236" x14ac:dyDescent="0.25">
      <c r="A52" s="241" t="s">
        <v>252</v>
      </c>
      <c r="B52" s="78"/>
      <c r="C52" s="78"/>
      <c r="D52" s="100">
        <f>C15</f>
        <v>0</v>
      </c>
      <c r="E52" s="101" t="s">
        <v>41</v>
      </c>
      <c r="F52" s="249" t="s">
        <v>8</v>
      </c>
      <c r="G52" s="103"/>
      <c r="H52" s="103"/>
      <c r="I52" s="103">
        <f>'Rider Rates'!$B$130</f>
        <v>0</v>
      </c>
      <c r="J52" s="237">
        <f>SUM(G52:I52)</f>
        <v>0</v>
      </c>
      <c r="K52" s="104" t="s">
        <v>42</v>
      </c>
      <c r="L52" s="105"/>
      <c r="M52" s="105"/>
      <c r="N52" s="105">
        <f>D52*J52</f>
        <v>0</v>
      </c>
      <c r="O52" s="105">
        <f>SUM(L52:N52)</f>
        <v>0</v>
      </c>
      <c r="P52" s="245">
        <f>'Rider Rates'!$D$130</f>
        <v>44531</v>
      </c>
      <c r="Q52" s="106"/>
      <c r="R52" s="107"/>
      <c r="S52" s="108"/>
      <c r="T52" s="109"/>
      <c r="U52" s="78"/>
      <c r="V52" s="110"/>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row>
    <row r="53" spans="1:236" x14ac:dyDescent="0.25">
      <c r="A53" s="241" t="s">
        <v>251</v>
      </c>
      <c r="B53" s="78"/>
      <c r="C53" s="78"/>
      <c r="D53" s="100"/>
      <c r="E53" s="101" t="s">
        <v>114</v>
      </c>
      <c r="F53" s="102" t="s">
        <v>8</v>
      </c>
      <c r="G53" s="265"/>
      <c r="H53" s="265"/>
      <c r="I53" s="265">
        <f>'Rider Rates'!$B$137</f>
        <v>0</v>
      </c>
      <c r="J53" s="265">
        <f>SUM(G53:I53)</f>
        <v>0</v>
      </c>
      <c r="K53" s="104"/>
      <c r="L53" s="209"/>
      <c r="M53" s="209"/>
      <c r="N53" s="209">
        <f>J53</f>
        <v>0</v>
      </c>
      <c r="O53" s="209">
        <f>SUM(L53:N53)</f>
        <v>0</v>
      </c>
      <c r="P53" s="266">
        <f>'Rider Rates'!D137</f>
        <v>44531</v>
      </c>
      <c r="Q53" s="106"/>
      <c r="R53" s="107"/>
      <c r="S53" s="108"/>
      <c r="T53" s="109"/>
      <c r="U53" s="78"/>
      <c r="V53" s="110"/>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row>
    <row r="54" spans="1:236" x14ac:dyDescent="0.25">
      <c r="A54" s="241" t="s">
        <v>253</v>
      </c>
      <c r="B54" s="78"/>
      <c r="C54" s="78"/>
      <c r="D54" s="100"/>
      <c r="E54" s="101"/>
      <c r="F54" s="102"/>
      <c r="G54" s="265"/>
      <c r="H54" s="265"/>
      <c r="I54" s="265"/>
      <c r="J54" s="265"/>
      <c r="K54" s="104"/>
      <c r="L54" s="209"/>
      <c r="M54" s="209"/>
      <c r="N54" s="209"/>
      <c r="O54" s="209"/>
      <c r="P54" s="266"/>
      <c r="Q54" s="106"/>
      <c r="R54" s="107"/>
      <c r="S54" s="108"/>
      <c r="T54" s="109"/>
      <c r="U54" s="78"/>
      <c r="V54" s="110"/>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row>
    <row r="55" spans="1:236" ht="13" x14ac:dyDescent="0.3">
      <c r="A55" s="179" t="s">
        <v>70</v>
      </c>
      <c r="B55" s="148"/>
      <c r="C55" s="148"/>
      <c r="D55" s="180"/>
      <c r="E55" s="181"/>
      <c r="F55" s="182"/>
      <c r="G55" s="182"/>
      <c r="H55" s="182"/>
      <c r="I55" s="182"/>
      <c r="J55" s="182"/>
      <c r="K55" s="183"/>
      <c r="L55" s="169">
        <f>SUM(L27:L54)</f>
        <v>0</v>
      </c>
      <c r="M55" s="169">
        <f>SUM(M27:M54)</f>
        <v>0</v>
      </c>
      <c r="N55" s="169">
        <f>SUM(N27:N54)</f>
        <v>24.659999999999997</v>
      </c>
      <c r="O55" s="169">
        <f>SUM(O27:O54)</f>
        <v>24.659999999999997</v>
      </c>
      <c r="P55" s="184"/>
      <c r="Q55" s="106"/>
      <c r="R55" s="107"/>
      <c r="S55" s="108"/>
      <c r="T55" s="109"/>
      <c r="U55" s="78"/>
      <c r="V55" s="110"/>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row>
    <row r="56" spans="1:236" x14ac:dyDescent="0.25">
      <c r="A56" s="78"/>
      <c r="B56" s="78"/>
      <c r="C56" s="78"/>
      <c r="D56" s="100"/>
      <c r="E56" s="113"/>
      <c r="F56" s="106"/>
      <c r="G56" s="106"/>
      <c r="H56" s="106"/>
      <c r="I56" s="106"/>
      <c r="J56" s="107"/>
      <c r="K56" s="104"/>
      <c r="L56" s="106"/>
      <c r="M56" s="106"/>
      <c r="N56" s="106"/>
      <c r="O56" s="106"/>
      <c r="P56" s="164"/>
      <c r="Q56" s="106"/>
      <c r="R56" s="107"/>
      <c r="S56" s="108"/>
      <c r="T56" s="109"/>
      <c r="U56" s="78"/>
      <c r="V56" s="110"/>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row>
    <row r="57" spans="1:236" ht="13" x14ac:dyDescent="0.3">
      <c r="A57" s="185" t="s">
        <v>93</v>
      </c>
      <c r="B57" s="170"/>
      <c r="C57" s="170"/>
      <c r="D57" s="170"/>
      <c r="E57" s="170"/>
      <c r="F57" s="170"/>
      <c r="G57" s="170"/>
      <c r="H57" s="170"/>
      <c r="I57" s="170"/>
      <c r="J57" s="170"/>
      <c r="K57" s="170"/>
      <c r="L57" s="186">
        <f>L23+L55</f>
        <v>0</v>
      </c>
      <c r="M57" s="186">
        <f>M23+M55</f>
        <v>0</v>
      </c>
      <c r="N57" s="186">
        <f>N23+N55</f>
        <v>34.059999999999995</v>
      </c>
      <c r="O57" s="187">
        <f>O23+O55</f>
        <v>34.059999999999995</v>
      </c>
      <c r="P57" s="187"/>
      <c r="Q57" s="106"/>
      <c r="R57" s="188"/>
      <c r="S57" s="108"/>
      <c r="T57" s="109"/>
      <c r="U57" s="78"/>
      <c r="V57" s="10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row>
    <row r="58" spans="1:236" ht="13" x14ac:dyDescent="0.3">
      <c r="A58" s="78"/>
      <c r="B58" s="78"/>
      <c r="C58" s="78"/>
      <c r="D58" s="78"/>
      <c r="E58" s="78"/>
      <c r="F58" s="78"/>
      <c r="G58" s="78"/>
      <c r="H58" s="78"/>
      <c r="I58" s="78"/>
      <c r="J58" s="78"/>
      <c r="K58" s="78"/>
      <c r="L58" s="78"/>
      <c r="M58" s="78"/>
      <c r="N58" s="151"/>
      <c r="O58" s="151"/>
      <c r="P58" s="151"/>
      <c r="Q58" s="166"/>
      <c r="R58" s="166"/>
      <c r="S58" s="166"/>
      <c r="T58" s="189"/>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row>
    <row r="59" spans="1:236" ht="13" x14ac:dyDescent="0.3">
      <c r="A59" s="78"/>
      <c r="B59" s="78"/>
      <c r="C59" s="78"/>
      <c r="D59" s="78"/>
      <c r="E59" s="78"/>
      <c r="F59" s="78"/>
      <c r="G59" s="78"/>
      <c r="H59" s="78"/>
      <c r="I59" s="78"/>
      <c r="J59" s="78"/>
      <c r="K59" s="78"/>
      <c r="L59" s="78"/>
      <c r="M59" s="78"/>
      <c r="N59" s="151"/>
      <c r="O59" s="151"/>
      <c r="P59" s="151"/>
      <c r="Q59" s="166"/>
      <c r="R59" s="166"/>
      <c r="S59" s="166"/>
      <c r="T59" s="189"/>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row>
    <row r="60" spans="1:236" ht="13" x14ac:dyDescent="0.3">
      <c r="A60" s="166" t="s">
        <v>92</v>
      </c>
      <c r="B60" s="78"/>
      <c r="C60" s="78"/>
      <c r="D60" s="78"/>
      <c r="E60" s="78"/>
      <c r="F60" s="78"/>
      <c r="G60" s="78"/>
      <c r="H60" s="78"/>
      <c r="I60" s="78"/>
      <c r="J60" s="78"/>
      <c r="K60" s="78"/>
      <c r="L60" s="78"/>
      <c r="M60" s="78"/>
      <c r="N60" s="78"/>
      <c r="O60" s="109">
        <f>O21+O55</f>
        <v>34.059999999999995</v>
      </c>
      <c r="P60" s="151"/>
      <c r="Q60" s="166"/>
      <c r="R60" s="166"/>
      <c r="S60" s="166"/>
      <c r="T60" s="189"/>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row>
    <row r="61" spans="1:236" ht="13" x14ac:dyDescent="0.3">
      <c r="A61" s="166" t="s">
        <v>15</v>
      </c>
      <c r="B61" s="166"/>
      <c r="C61" s="166"/>
      <c r="D61" s="166"/>
      <c r="E61" s="166"/>
      <c r="F61" s="166"/>
      <c r="G61" s="166"/>
      <c r="H61" s="166"/>
      <c r="I61" s="78"/>
      <c r="J61" s="78"/>
      <c r="K61" s="78"/>
      <c r="L61" s="78"/>
      <c r="M61" s="78"/>
      <c r="N61" s="151"/>
      <c r="O61" s="151"/>
      <c r="P61" s="151"/>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row>
    <row r="62" spans="1:236" ht="13" x14ac:dyDescent="0.3">
      <c r="A62" s="148" t="s">
        <v>116</v>
      </c>
      <c r="B62" s="151"/>
      <c r="C62" s="151"/>
      <c r="D62" s="151"/>
      <c r="E62" s="151"/>
      <c r="F62" s="151"/>
      <c r="G62" s="151"/>
      <c r="H62" s="151"/>
      <c r="I62" s="151"/>
      <c r="J62" s="151"/>
      <c r="K62" s="151"/>
      <c r="L62" s="151"/>
      <c r="M62" s="151"/>
      <c r="N62" s="151"/>
      <c r="O62" s="190">
        <f>IF($D$17&lt;0,O57,IF(O57&gt;O60,O57,O60))</f>
        <v>34.059999999999995</v>
      </c>
      <c r="P62" s="160"/>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c r="FK62" s="78"/>
      <c r="FL62" s="78"/>
      <c r="FM62" s="78"/>
      <c r="FN62" s="78"/>
      <c r="FO62" s="78"/>
      <c r="FP62" s="78"/>
      <c r="FQ62" s="78"/>
      <c r="FR62" s="78"/>
      <c r="FS62" s="78"/>
      <c r="FT62" s="78"/>
      <c r="FU62" s="78"/>
      <c r="FV62" s="78"/>
      <c r="FW62" s="78"/>
      <c r="FX62" s="78"/>
      <c r="FY62" s="78"/>
      <c r="FZ62" s="78"/>
      <c r="GA62" s="78"/>
      <c r="GB62" s="78"/>
      <c r="GC62" s="78"/>
      <c r="GD62" s="78"/>
      <c r="GE62" s="78"/>
      <c r="GF62" s="78"/>
      <c r="GG62" s="78"/>
      <c r="GH62" s="78"/>
      <c r="GI62" s="78"/>
      <c r="GJ62" s="78"/>
      <c r="GK62" s="78"/>
      <c r="GL62" s="78"/>
      <c r="GM62" s="78"/>
      <c r="GN62" s="78"/>
      <c r="GO62" s="78"/>
      <c r="GP62" s="78"/>
      <c r="GQ62" s="78"/>
      <c r="GR62" s="78"/>
      <c r="GS62" s="78"/>
      <c r="GT62" s="78"/>
      <c r="GU62" s="78"/>
      <c r="GV62" s="78"/>
      <c r="GW62" s="78"/>
      <c r="GX62" s="78"/>
      <c r="GY62" s="78"/>
      <c r="GZ62" s="78"/>
      <c r="HA62" s="78"/>
      <c r="HB62" s="78"/>
      <c r="HC62" s="78"/>
      <c r="HD62" s="78"/>
      <c r="HE62" s="78"/>
      <c r="HF62" s="78"/>
      <c r="HG62" s="78"/>
      <c r="HH62" s="78"/>
      <c r="HI62" s="78"/>
      <c r="HJ62" s="78"/>
      <c r="HK62" s="78"/>
      <c r="HL62" s="78"/>
      <c r="HM62" s="78"/>
    </row>
    <row r="63" spans="1:236" ht="15" customHeight="1" x14ac:dyDescent="0.3">
      <c r="A63" s="148"/>
      <c r="B63" s="151"/>
      <c r="C63" s="151"/>
      <c r="D63" s="151"/>
      <c r="E63" s="151"/>
      <c r="F63" s="151"/>
      <c r="G63" s="151"/>
      <c r="H63" s="151"/>
      <c r="I63" s="151"/>
      <c r="J63" s="151"/>
      <c r="K63" s="151"/>
      <c r="L63" s="151"/>
      <c r="M63" s="151"/>
      <c r="N63" s="151"/>
      <c r="O63" s="190"/>
      <c r="P63" s="160"/>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row>
    <row r="64" spans="1:236" ht="13" x14ac:dyDescent="0.3">
      <c r="A64" s="148"/>
      <c r="B64" s="166"/>
      <c r="C64" s="166"/>
      <c r="D64" s="166"/>
      <c r="E64" s="166"/>
      <c r="F64" s="166"/>
      <c r="G64" s="166"/>
      <c r="H64" s="166"/>
      <c r="I64" s="166" t="s">
        <v>120</v>
      </c>
      <c r="J64" s="166"/>
      <c r="K64" s="166"/>
      <c r="L64" s="191"/>
      <c r="M64" s="191"/>
      <c r="N64" s="191"/>
      <c r="O64" s="191">
        <f>ROUND(IF($C$15&lt;1,0,O57/($C$15*100)*10000),2)</f>
        <v>0</v>
      </c>
      <c r="P64" s="37" t="s">
        <v>86</v>
      </c>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HE64" s="78"/>
      <c r="HF64" s="78"/>
      <c r="HG64" s="78"/>
      <c r="HH64" s="78"/>
      <c r="HI64" s="78"/>
      <c r="HJ64" s="78"/>
      <c r="HK64" s="78"/>
      <c r="HL64" s="78"/>
      <c r="HM64" s="78"/>
      <c r="HN64" s="78"/>
    </row>
    <row r="65" spans="2:37" ht="13" x14ac:dyDescent="0.3">
      <c r="B65" s="78"/>
      <c r="C65" s="78"/>
      <c r="D65" s="78"/>
      <c r="E65" s="78"/>
      <c r="F65" s="78"/>
      <c r="G65" s="78"/>
      <c r="H65" s="192"/>
      <c r="I65" s="242" t="s">
        <v>199</v>
      </c>
      <c r="J65" s="78"/>
      <c r="K65" s="78"/>
      <c r="L65" s="78"/>
      <c r="M65" s="78"/>
      <c r="N65" s="78"/>
      <c r="O65" s="243">
        <f>ROUND(IF($C$15&lt;1,0,(L57)/($C$15*100)*10000),2)</f>
        <v>0</v>
      </c>
      <c r="P65" s="25" t="s">
        <v>86</v>
      </c>
      <c r="Q65" s="78"/>
      <c r="R65" s="78"/>
      <c r="S65" s="78"/>
      <c r="T65" s="78"/>
      <c r="U65" s="78"/>
      <c r="V65" s="78"/>
      <c r="W65" s="78"/>
      <c r="X65" s="78"/>
      <c r="Y65" s="78"/>
      <c r="Z65" s="78"/>
      <c r="AA65" s="78"/>
      <c r="AB65" s="78"/>
      <c r="AC65" s="78"/>
      <c r="AD65" s="78"/>
      <c r="AE65" s="78"/>
      <c r="AF65" s="78"/>
      <c r="AG65" s="78"/>
      <c r="AH65" s="78"/>
      <c r="AI65" s="78"/>
      <c r="AJ65" s="78"/>
      <c r="AK65" s="78"/>
    </row>
  </sheetData>
  <sheetProtection algorithmName="SHA-512" hashValue="vwHg0c79ttXk2E/np/t0cMTCdz0Hhabt028C+0P9uirJGT6CJ9pRiXQw9+zlIA7v3KJlnyXtNgMIMtrn8eeVnQ==" saltValue="rZdC+n8BV4yLlpq5Vce/hg==" spinCount="100000" sheet="1" objects="1" scenarios="1"/>
  <mergeCells count="8">
    <mergeCell ref="A7:P7"/>
    <mergeCell ref="G19:J19"/>
    <mergeCell ref="L19:O19"/>
    <mergeCell ref="A1:P1"/>
    <mergeCell ref="A3:P3"/>
    <mergeCell ref="A4:P4"/>
    <mergeCell ref="A12:I12"/>
    <mergeCell ref="A2:P2"/>
  </mergeCells>
  <phoneticPr fontId="0" type="noConversion"/>
  <printOptions horizontalCentered="1"/>
  <pageMargins left="0" right="0" top="0.75" bottom="0.5" header="0.5" footer="0.5"/>
  <pageSetup scale="60" fitToHeight="2" orientation="landscape" r:id="rId1"/>
  <headerFooter alignWithMargins="0"/>
  <rowBreaks count="1" manualBreakCount="1">
    <brk id="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Info">
                <anchor moveWithCells="1">
                  <from>
                    <xdr:col>0</xdr:col>
                    <xdr:colOff>38100</xdr:colOff>
                    <xdr:row>0</xdr:row>
                    <xdr:rowOff>31750</xdr:rowOff>
                  </from>
                  <to>
                    <xdr:col>0</xdr:col>
                    <xdr:colOff>381000</xdr:colOff>
                    <xdr:row>0</xdr:row>
                    <xdr:rowOff>165100</xdr:rowOff>
                  </to>
                </anchor>
              </controlPr>
            </control>
          </mc:Choice>
        </mc:AlternateContent>
        <mc:AlternateContent xmlns:mc="http://schemas.openxmlformats.org/markup-compatibility/2006">
          <mc:Choice Requires="x14">
            <control shapeId="24591" r:id="rId5" name="Button 15">
              <controlPr defaultSize="0" print="0" autoFill="0" autoPict="0" macro="[0]!Info">
                <anchor moveWithCells="1">
                  <from>
                    <xdr:col>15</xdr:col>
                    <xdr:colOff>190500</xdr:colOff>
                    <xdr:row>72</xdr:row>
                    <xdr:rowOff>50800</xdr:rowOff>
                  </from>
                  <to>
                    <xdr:col>15</xdr:col>
                    <xdr:colOff>546100</xdr:colOff>
                    <xdr:row>73</xdr:row>
                    <xdr:rowOff>107950</xdr:rowOff>
                  </to>
                </anchor>
              </controlPr>
            </control>
          </mc:Choice>
        </mc:AlternateContent>
        <mc:AlternateContent xmlns:mc="http://schemas.openxmlformats.org/markup-compatibility/2006">
          <mc:Choice Requires="x14">
            <control shapeId="24592" r:id="rId6" name="Button 16">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24593" r:id="rId7" name="Button 17">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24594" r:id="rId8" name="Button 18">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mc:AlternateContent xmlns:mc="http://schemas.openxmlformats.org/markup-compatibility/2006">
          <mc:Choice Requires="x14">
            <control shapeId="24595" r:id="rId9" name="Button 19">
              <controlPr defaultSize="0" print="0" autoFill="0" autoPict="0" macro="[0]!Info">
                <anchor moveWithCells="1">
                  <from>
                    <xdr:col>0</xdr:col>
                    <xdr:colOff>50800</xdr:colOff>
                    <xdr:row>0</xdr:row>
                    <xdr:rowOff>50800</xdr:rowOff>
                  </from>
                  <to>
                    <xdr:col>0</xdr:col>
                    <xdr:colOff>393700</xdr:colOff>
                    <xdr:row>1</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wvc2lzbD48VXNlck5hbWU+Q09SUFxzMjE0Mjg0PC9Vc2VyTmFtZT48RGF0ZVRpbWU+Mi85LzIwMjIgMzo1OTo0MSBQTTwvRGF0ZVRpbWU+PExhYmVsU3RyaW5nPkFFUCBQdWJsaWM8L0xhYmVsU3RyaW5nPjwvaXRlbT48L2xhYmVsSGlzdG9yeT4=</Value>
</WrappedLabelHistory>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66E1F49E4A5F4F901E7B53DFF89840" ma:contentTypeVersion="0" ma:contentTypeDescription="Create a new document." ma:contentTypeScope="" ma:versionID="c83cccf63b51a0b80fbd7d1f8d67c54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e9c0b8d7-bdb4-4fd3-b62a-f50327aaefce" origin="userSelected">
  <element uid="c5f8eb12-5b27-439d-aaa6-3402af626fa3" value=""/>
</sisl>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4AF51-D3D8-490B-99D1-5A8AAE94ED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4008907-0E25-47A3-957E-4399DC5131C0}">
  <ds:schemaRef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A6A1896-A605-4818-867F-6CC6ECA9D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28536C2F-9AC3-45D0-A9E3-6A820CDC1D7E}">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BAA3C3FA-2552-4DFE-89EC-1E0E2B13CA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Customer Info</vt:lpstr>
      <vt:lpstr>Rider Def</vt:lpstr>
      <vt:lpstr>RR Bundled</vt:lpstr>
      <vt:lpstr>RLM Bundled</vt:lpstr>
      <vt:lpstr>RSDM Bundled</vt:lpstr>
      <vt:lpstr>RS TOU Bundled</vt:lpstr>
      <vt:lpstr>RS TOD Bundled</vt:lpstr>
      <vt:lpstr>RR PEV</vt:lpstr>
      <vt:lpstr>GS-1 Bundled</vt:lpstr>
      <vt:lpstr>GS-TOU Bundled</vt:lpstr>
      <vt:lpstr>GS TOD Bundled</vt:lpstr>
      <vt:lpstr>GS-PEV</vt:lpstr>
      <vt:lpstr>GS FAIR - SEC</vt:lpstr>
      <vt:lpstr>GS FAIR - PRI</vt:lpstr>
      <vt:lpstr>GS SEC</vt:lpstr>
      <vt:lpstr>GS PRI</vt:lpstr>
      <vt:lpstr>GS TRANS</vt:lpstr>
      <vt:lpstr>RR Open Access</vt:lpstr>
      <vt:lpstr>RSDM Open</vt:lpstr>
      <vt:lpstr>GS-1 Open</vt:lpstr>
      <vt:lpstr>GS-PEV OAD</vt:lpstr>
      <vt:lpstr>GS SEC OAD</vt:lpstr>
      <vt:lpstr>GS PRI OAD</vt:lpstr>
      <vt:lpstr>GS TRANS - OAD</vt:lpstr>
      <vt:lpstr>Rider Rates</vt:lpstr>
      <vt:lpstr>Riders</vt:lpstr>
      <vt:lpstr>'Customer Info'!Print_Area</vt:lpstr>
      <vt:lpstr>'GS FAIR - PRI'!Print_Area</vt:lpstr>
      <vt:lpstr>'GS FAIR - SEC'!Print_Area</vt:lpstr>
      <vt:lpstr>'GS PRI'!Print_Area</vt:lpstr>
      <vt:lpstr>'GS PRI OAD'!Print_Area</vt:lpstr>
      <vt:lpstr>'GS SEC'!Print_Area</vt:lpstr>
      <vt:lpstr>'GS SEC OAD'!Print_Area</vt:lpstr>
      <vt:lpstr>'GS TOD Bundled'!Print_Area</vt:lpstr>
      <vt:lpstr>'GS TRANS'!Print_Area</vt:lpstr>
      <vt:lpstr>'GS TRANS - OAD'!Print_Area</vt:lpstr>
      <vt:lpstr>'GS-1 Bundled'!Print_Area</vt:lpstr>
      <vt:lpstr>'GS-1 Open'!Print_Area</vt:lpstr>
      <vt:lpstr>'GS-PEV'!Print_Area</vt:lpstr>
      <vt:lpstr>'GS-PEV OAD'!Print_Area</vt:lpstr>
      <vt:lpstr>'GS-TOU Bundled'!Print_Area</vt:lpstr>
      <vt:lpstr>'Rider Def'!Print_Area</vt:lpstr>
      <vt:lpstr>'Rider Rates'!Print_Area</vt:lpstr>
      <vt:lpstr>'RLM Bundled'!Print_Area</vt:lpstr>
      <vt:lpstr>'RR Bundled'!Print_Area</vt:lpstr>
      <vt:lpstr>'RR Open Access'!Print_Area</vt:lpstr>
      <vt:lpstr>'RR PEV'!Print_Area</vt:lpstr>
      <vt:lpstr>'RS TOD Bundled'!Print_Area</vt:lpstr>
      <vt:lpstr>'RS TOU Bundled'!Print_Area</vt:lpstr>
      <vt:lpstr>'RSDM Bundled'!Print_Area</vt:lpstr>
      <vt:lpstr>'RSDM Open'!Print_Area</vt:lpstr>
      <vt:lpstr>'Rider Rates'!Print_Titles</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aep</dc:creator>
  <cp:keywords/>
  <cp:lastModifiedBy>Curtis M Heitkamp</cp:lastModifiedBy>
  <cp:lastPrinted>2023-06-07T15:43:40Z</cp:lastPrinted>
  <dcterms:created xsi:type="dcterms:W3CDTF">2000-11-03T19:24:31Z</dcterms:created>
  <dcterms:modified xsi:type="dcterms:W3CDTF">2024-03-27T11:02:11Z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8c3e659f-6535-4092-8ac9-730d717eb7e6</vt:lpwstr>
  </property>
  <property fmtid="{D5CDD505-2E9C-101B-9397-08002B2CF9AE}" pid="3" name="bjSaver">
    <vt:lpwstr>U1v8mr3eKs0tgCx2MG+dSVdPBDLtHi3C</vt:lpwstr>
  </property>
  <property fmtid="{D5CDD505-2E9C-101B-9397-08002B2CF9AE}" pid="4" name="Visual Markings Removed">
    <vt:lpwstr>No</vt:lpwstr>
  </property>
  <property fmtid="{D5CDD505-2E9C-101B-9397-08002B2CF9AE}" pid="5" name="bjDocumentSecurityLabel">
    <vt:lpwstr>AEP Public</vt:lpwstr>
  </property>
  <property fmtid="{D5CDD505-2E9C-101B-9397-08002B2CF9AE}" pid="6" name="bjLabelHistoryID">
    <vt:lpwstr>{3F24AF51-D3D8-490B-99D1-5A8AAE94ED87}</vt:lpwstr>
  </property>
  <property fmtid="{D5CDD505-2E9C-101B-9397-08002B2CF9AE}" pid="7" name="bjClsUserRVM">
    <vt:lpwstr>[]</vt:lpwstr>
  </property>
  <property fmtid="{D5CDD505-2E9C-101B-9397-08002B2CF9AE}" pid="8" name="MSIP_Label_5c34e43d-0b77-4b2c-b224-1b46981ccfdb_SiteId">
    <vt:lpwstr>15f3c881-6b03-4ff6-8559-77bf5177818f</vt:lpwstr>
  </property>
  <property fmtid="{D5CDD505-2E9C-101B-9397-08002B2CF9AE}" pid="9" name="MSIP_Label_5c34e43d-0b77-4b2c-b224-1b46981ccfdb_Name">
    <vt:lpwstr>AEP Public</vt:lpwstr>
  </property>
  <property fmtid="{D5CDD505-2E9C-101B-9397-08002B2CF9AE}" pid="10" name="MSIP_Label_5c34e43d-0b77-4b2c-b224-1b46981ccfdb_Enabled">
    <vt:lpwstr>true</vt:lpwstr>
  </property>
  <property fmtid="{D5CDD505-2E9C-101B-9397-08002B2CF9AE}" pid="11" name="ContentTypeId">
    <vt:lpwstr>0x010100F766E1F49E4A5F4F901E7B53DFF89840</vt:lpwstr>
  </property>
  <property fmtid="{D5CDD505-2E9C-101B-9397-08002B2CF9AE}" pid="12"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3" name="bjDocumentLabelXML-0">
    <vt:lpwstr>ames.com/2008/01/sie/internal/label"&gt;&lt;element uid="c5f8eb12-5b27-439d-aaa6-3402af626fa3" value="" /&gt;&lt;/sisl&gt;</vt:lpwstr>
  </property>
</Properties>
</file>